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G:\Shared drives\Projects C-D\Community Energy Electrification Study EB 2020\3 - Analysis\"/>
    </mc:Choice>
  </mc:AlternateContent>
  <xr:revisionPtr revIDLastSave="0" documentId="13_ncr:1_{DBAC0C73-18B7-45DA-B694-FADB54788E1A}" xr6:coauthVersionLast="45" xr6:coauthVersionMax="45" xr10:uidLastSave="{00000000-0000-0000-0000-000000000000}"/>
  <bookViews>
    <workbookView xWindow="390" yWindow="390" windowWidth="20055" windowHeight="18930" xr2:uid="{5B8F8541-395C-4B3C-8E75-5796E499189D}"/>
  </bookViews>
  <sheets>
    <sheet name="Electrification Calculator" sheetId="1" r:id="rId1"/>
    <sheet name="Lookups" sheetId="3" r:id="rId2"/>
    <sheet name="Net Present Costs" sheetId="5" r:id="rId3"/>
    <sheet name="Demand Data" sheetId="4" r:id="rId4"/>
  </sheets>
  <definedNames>
    <definedName name="_xlnm._FilterDatabase" localSheetId="0" hidden="1">'Electrification Calculator'!#REF!</definedName>
    <definedName name="Commercial">Lookups!$B$30:$B$31</definedName>
    <definedName name="Custom">Lookups!$D$30</definedName>
    <definedName name="RateType">Lookups!$B$29:$D$29</definedName>
    <definedName name="Residential">Lookups!$C$30:$C$32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 l="1"/>
  <c r="E46" i="1" l="1"/>
  <c r="D46" i="1"/>
  <c r="L30" i="1"/>
  <c r="L29" i="1"/>
  <c r="K30" i="1"/>
  <c r="K29" i="1"/>
  <c r="L13" i="1"/>
  <c r="J30" i="1"/>
  <c r="J14" i="1"/>
  <c r="J13" i="1"/>
  <c r="J29" i="1"/>
  <c r="L14" i="1"/>
  <c r="K14" i="1"/>
  <c r="K13" i="1"/>
  <c r="E60" i="5"/>
  <c r="E59" i="5"/>
  <c r="R56" i="5"/>
  <c r="O56" i="5"/>
  <c r="J56" i="5"/>
  <c r="G56" i="5"/>
  <c r="R55" i="5"/>
  <c r="Q55" i="5"/>
  <c r="Q56" i="5" s="1"/>
  <c r="P55" i="5"/>
  <c r="P56" i="5" s="1"/>
  <c r="O55" i="5"/>
  <c r="N55" i="5"/>
  <c r="N56" i="5" s="1"/>
  <c r="M55" i="5"/>
  <c r="M56" i="5" s="1"/>
  <c r="L55" i="5"/>
  <c r="L56" i="5" s="1"/>
  <c r="K55" i="5"/>
  <c r="K56" i="5" s="1"/>
  <c r="J55" i="5"/>
  <c r="I55" i="5"/>
  <c r="I56" i="5" s="1"/>
  <c r="H55" i="5"/>
  <c r="H56" i="5" s="1"/>
  <c r="G55" i="5"/>
  <c r="F55" i="5"/>
  <c r="F56" i="5" s="1"/>
  <c r="E55" i="5"/>
  <c r="E56" i="5" s="1"/>
  <c r="D55" i="5"/>
  <c r="D56" i="5" s="1"/>
  <c r="S54" i="5"/>
  <c r="S53" i="5"/>
  <c r="R50" i="5"/>
  <c r="Q50" i="5"/>
  <c r="P50" i="5"/>
  <c r="O50" i="5"/>
  <c r="N50" i="5"/>
  <c r="M50" i="5"/>
  <c r="L50" i="5"/>
  <c r="K50" i="5"/>
  <c r="J50" i="5"/>
  <c r="I50" i="5"/>
  <c r="H50" i="5"/>
  <c r="G50" i="5"/>
  <c r="F50" i="5"/>
  <c r="E50" i="5"/>
  <c r="D50" i="5"/>
  <c r="C50" i="5"/>
  <c r="C29" i="5"/>
  <c r="D29" i="5"/>
  <c r="G102" i="1" l="1"/>
  <c r="G98" i="1"/>
  <c r="G101" i="1"/>
  <c r="G100" i="1"/>
  <c r="G99" i="1"/>
  <c r="G93" i="1"/>
  <c r="G94" i="1"/>
  <c r="G97" i="1"/>
  <c r="G104" i="1"/>
  <c r="G96" i="1"/>
  <c r="G103" i="1"/>
  <c r="G95" i="1"/>
  <c r="F60" i="5"/>
  <c r="G60" i="5" s="1"/>
  <c r="H60" i="5" s="1"/>
  <c r="I60" i="5" s="1"/>
  <c r="J60" i="5" s="1"/>
  <c r="K60" i="5" s="1"/>
  <c r="L60" i="5" s="1"/>
  <c r="M60" i="5" s="1"/>
  <c r="N60" i="5" s="1"/>
  <c r="O60" i="5" s="1"/>
  <c r="P60" i="5" s="1"/>
  <c r="Q60" i="5" s="1"/>
  <c r="R60" i="5" s="1"/>
  <c r="F59" i="5"/>
  <c r="G59" i="5" s="1"/>
  <c r="H59" i="5" s="1"/>
  <c r="I59" i="5" s="1"/>
  <c r="J59" i="5" s="1"/>
  <c r="K59" i="5" s="1"/>
  <c r="L59" i="5" s="1"/>
  <c r="M59" i="5" s="1"/>
  <c r="N59" i="5" s="1"/>
  <c r="O59" i="5" s="1"/>
  <c r="P59" i="5" s="1"/>
  <c r="Q59" i="5" s="1"/>
  <c r="R59" i="5" s="1"/>
  <c r="F106" i="1"/>
  <c r="S59" i="5" l="1"/>
  <c r="S60" i="5"/>
  <c r="I93" i="1" l="1"/>
  <c r="E106" i="1"/>
  <c r="E26" i="1" l="1"/>
  <c r="J123" i="3"/>
  <c r="K114" i="3" l="1"/>
  <c r="K101" i="3"/>
  <c r="K92" i="3"/>
  <c r="I90" i="3" l="1"/>
  <c r="I89" i="3"/>
  <c r="F123" i="3"/>
  <c r="J109" i="3"/>
  <c r="I109" i="3"/>
  <c r="E39" i="5" l="1"/>
  <c r="F39" i="5" s="1"/>
  <c r="G39" i="5" s="1"/>
  <c r="H39" i="5" s="1"/>
  <c r="I39" i="5" s="1"/>
  <c r="J39" i="5" s="1"/>
  <c r="K39" i="5" s="1"/>
  <c r="L39" i="5" s="1"/>
  <c r="M39" i="5" s="1"/>
  <c r="N39" i="5" s="1"/>
  <c r="O39" i="5" s="1"/>
  <c r="P39" i="5" s="1"/>
  <c r="Q39" i="5" s="1"/>
  <c r="R39" i="5" s="1"/>
  <c r="E38" i="5"/>
  <c r="O35" i="5"/>
  <c r="K35" i="5"/>
  <c r="R34" i="5"/>
  <c r="R35" i="5" s="1"/>
  <c r="Q34" i="5"/>
  <c r="Q35" i="5" s="1"/>
  <c r="P34" i="5"/>
  <c r="P35" i="5" s="1"/>
  <c r="O34" i="5"/>
  <c r="N34" i="5"/>
  <c r="N35" i="5" s="1"/>
  <c r="M34" i="5"/>
  <c r="M35" i="5" s="1"/>
  <c r="L34" i="5"/>
  <c r="L35" i="5" s="1"/>
  <c r="K34" i="5"/>
  <c r="J34" i="5"/>
  <c r="J35" i="5" s="1"/>
  <c r="I34" i="5"/>
  <c r="I35" i="5" s="1"/>
  <c r="H34" i="5"/>
  <c r="H35" i="5" s="1"/>
  <c r="G34" i="5"/>
  <c r="G35" i="5" s="1"/>
  <c r="F34" i="5"/>
  <c r="F35" i="5" s="1"/>
  <c r="E34" i="5"/>
  <c r="E35" i="5" s="1"/>
  <c r="D34" i="5"/>
  <c r="D35" i="5" s="1"/>
  <c r="S33" i="5"/>
  <c r="S32" i="5"/>
  <c r="R29" i="5"/>
  <c r="Q29" i="5"/>
  <c r="P29" i="5"/>
  <c r="O29" i="5"/>
  <c r="N29" i="5"/>
  <c r="M29" i="5"/>
  <c r="L29" i="5"/>
  <c r="K29" i="5"/>
  <c r="J29" i="5"/>
  <c r="I29" i="5"/>
  <c r="H29" i="5"/>
  <c r="G29" i="5"/>
  <c r="F29" i="5"/>
  <c r="E29" i="5"/>
  <c r="S11" i="5"/>
  <c r="S12" i="5"/>
  <c r="D13" i="5"/>
  <c r="D14" i="5" s="1"/>
  <c r="E13" i="5"/>
  <c r="E14" i="5" s="1"/>
  <c r="F13" i="5"/>
  <c r="F14" i="5" s="1"/>
  <c r="G13" i="5"/>
  <c r="G14" i="5" s="1"/>
  <c r="H13" i="5"/>
  <c r="H14" i="5" s="1"/>
  <c r="I13" i="5"/>
  <c r="I14" i="5" s="1"/>
  <c r="J13" i="5"/>
  <c r="J14" i="5" s="1"/>
  <c r="K13" i="5"/>
  <c r="K14" i="5" s="1"/>
  <c r="L13" i="5"/>
  <c r="L14" i="5" s="1"/>
  <c r="M13" i="5"/>
  <c r="M14" i="5" s="1"/>
  <c r="N13" i="5"/>
  <c r="N14" i="5" s="1"/>
  <c r="O13" i="5"/>
  <c r="O14" i="5" s="1"/>
  <c r="P13" i="5"/>
  <c r="P14" i="5" s="1"/>
  <c r="Q13" i="5"/>
  <c r="Q14" i="5" s="1"/>
  <c r="R13" i="5"/>
  <c r="R14" i="5" s="1"/>
  <c r="E18" i="5"/>
  <c r="F18" i="5" s="1"/>
  <c r="I101" i="3"/>
  <c r="I92" i="3"/>
  <c r="J93" i="3" s="1"/>
  <c r="J124" i="3"/>
  <c r="J114" i="3"/>
  <c r="I114" i="3"/>
  <c r="J101" i="3"/>
  <c r="J92" i="3"/>
  <c r="J115" i="3" l="1"/>
  <c r="F38" i="5"/>
  <c r="G38" i="5" s="1"/>
  <c r="H38" i="5" s="1"/>
  <c r="I38" i="5" s="1"/>
  <c r="J38" i="5" s="1"/>
  <c r="K38" i="5" s="1"/>
  <c r="L38" i="5" s="1"/>
  <c r="M38" i="5" s="1"/>
  <c r="N38" i="5" s="1"/>
  <c r="O38" i="5" s="1"/>
  <c r="P38" i="5" s="1"/>
  <c r="Q38" i="5" s="1"/>
  <c r="R38" i="5" s="1"/>
  <c r="S39" i="5"/>
  <c r="G18" i="5"/>
  <c r="H18" i="5" s="1"/>
  <c r="I18" i="5" s="1"/>
  <c r="J18" i="5" s="1"/>
  <c r="K18" i="5" s="1"/>
  <c r="L18" i="5" s="1"/>
  <c r="M18" i="5" s="1"/>
  <c r="N18" i="5" s="1"/>
  <c r="O18" i="5" s="1"/>
  <c r="P18" i="5" s="1"/>
  <c r="Q18" i="5" s="1"/>
  <c r="R18" i="5" s="1"/>
  <c r="J102" i="3"/>
  <c r="S38" i="5" l="1"/>
  <c r="S18" i="5"/>
  <c r="G123" i="3" l="1"/>
  <c r="D105" i="3"/>
  <c r="G101" i="3"/>
  <c r="F101" i="3"/>
  <c r="E101" i="3"/>
  <c r="D101" i="3"/>
  <c r="G109" i="3" l="1"/>
  <c r="J120" i="3"/>
  <c r="J110" i="3"/>
  <c r="I110" i="3"/>
  <c r="I119" i="3"/>
  <c r="F102" i="3"/>
  <c r="D119" i="3"/>
  <c r="D120" i="3" s="1"/>
  <c r="D124" i="3"/>
  <c r="E119" i="3"/>
  <c r="E120" i="3" s="1"/>
  <c r="G102" i="3"/>
  <c r="F119" i="3"/>
  <c r="G119" i="3"/>
  <c r="G120" i="3" s="1"/>
  <c r="E109" i="3"/>
  <c r="E110" i="3" s="1"/>
  <c r="D109" i="3"/>
  <c r="F109" i="3"/>
  <c r="F110" i="3" s="1"/>
  <c r="I124" i="3" l="1"/>
  <c r="I120" i="3"/>
  <c r="F124" i="3"/>
  <c r="F125" i="3" s="1"/>
  <c r="F120" i="3"/>
  <c r="G114" i="3"/>
  <c r="G110" i="3"/>
  <c r="D110" i="3"/>
  <c r="D114" i="3"/>
  <c r="G124" i="3"/>
  <c r="E114" i="3"/>
  <c r="E124" i="3"/>
  <c r="F114" i="3"/>
  <c r="E92" i="3"/>
  <c r="F92" i="3"/>
  <c r="G92" i="3"/>
  <c r="D92" i="3"/>
  <c r="D27" i="1"/>
  <c r="E27" i="1"/>
  <c r="F115" i="3" l="1"/>
  <c r="G115" i="3"/>
  <c r="G125" i="3"/>
  <c r="K124" i="3"/>
  <c r="J125" i="3"/>
  <c r="D32" i="1"/>
  <c r="E32" i="1" s="1"/>
  <c r="E29" i="1"/>
  <c r="C10" i="5" s="1"/>
  <c r="D29" i="1"/>
  <c r="C52" i="5" s="1"/>
  <c r="F93" i="3"/>
  <c r="G93" i="3"/>
  <c r="S52" i="5" l="1"/>
  <c r="S55" i="5" s="1"/>
  <c r="C55" i="5"/>
  <c r="D33" i="1"/>
  <c r="C31" i="5"/>
  <c r="M8" i="5"/>
  <c r="N8" i="5"/>
  <c r="O8" i="5"/>
  <c r="P8" i="5"/>
  <c r="Q8" i="5"/>
  <c r="R8" i="5"/>
  <c r="L8" i="5"/>
  <c r="K8" i="5"/>
  <c r="J8" i="5"/>
  <c r="I8" i="5"/>
  <c r="H8" i="5"/>
  <c r="G8" i="5"/>
  <c r="F8" i="5"/>
  <c r="E8" i="5"/>
  <c r="D8" i="5"/>
  <c r="C8" i="5"/>
  <c r="E33" i="1" l="1"/>
  <c r="C56" i="5"/>
  <c r="S56" i="5" s="1"/>
  <c r="C64" i="5"/>
  <c r="C65" i="5" s="1"/>
  <c r="S31" i="5"/>
  <c r="S34" i="5" s="1"/>
  <c r="C34" i="5"/>
  <c r="C13" i="5"/>
  <c r="E81" i="1"/>
  <c r="D14" i="3"/>
  <c r="E14" i="3"/>
  <c r="F14" i="3"/>
  <c r="C35" i="5" l="1"/>
  <c r="S35" i="5" s="1"/>
  <c r="C43" i="5"/>
  <c r="C44" i="5" s="1"/>
  <c r="C14" i="5"/>
  <c r="S14" i="5" s="1"/>
  <c r="C22" i="5"/>
  <c r="C23" i="5" s="1"/>
  <c r="S10" i="5"/>
  <c r="E23" i="1"/>
  <c r="D23" i="1"/>
  <c r="H94" i="1"/>
  <c r="H95" i="1"/>
  <c r="H96" i="1"/>
  <c r="H97" i="1"/>
  <c r="H98" i="1"/>
  <c r="H99" i="1"/>
  <c r="H100" i="1"/>
  <c r="H101" i="1"/>
  <c r="H102" i="1"/>
  <c r="H103" i="1"/>
  <c r="H104" i="1"/>
  <c r="H93" i="1"/>
  <c r="D89" i="1"/>
  <c r="D90" i="1" s="1"/>
  <c r="S13" i="5" l="1"/>
  <c r="G106" i="1"/>
  <c r="D106" i="1"/>
  <c r="C40" i="1" l="1"/>
  <c r="G107" i="1"/>
  <c r="D55" i="3"/>
  <c r="C54" i="3"/>
  <c r="D54" i="3" s="1"/>
  <c r="B69" i="3"/>
  <c r="C62" i="3"/>
  <c r="C61" i="3"/>
  <c r="D16" i="5" l="1"/>
  <c r="C41" i="1"/>
  <c r="I94" i="1"/>
  <c r="I95" i="1"/>
  <c r="I96" i="1"/>
  <c r="I97" i="1"/>
  <c r="I98" i="1"/>
  <c r="I99" i="1"/>
  <c r="I100" i="1"/>
  <c r="I101" i="1"/>
  <c r="I102" i="1"/>
  <c r="I103" i="1"/>
  <c r="I104" i="1"/>
  <c r="I106" i="1" l="1"/>
  <c r="K96" i="1"/>
  <c r="L94" i="1"/>
  <c r="L95" i="1"/>
  <c r="L96" i="1"/>
  <c r="L97" i="1"/>
  <c r="L98" i="1"/>
  <c r="L99" i="1"/>
  <c r="L100" i="1"/>
  <c r="L101" i="1"/>
  <c r="L102" i="1"/>
  <c r="L103" i="1"/>
  <c r="L104" i="1"/>
  <c r="L93" i="1"/>
  <c r="N93" i="1" l="1"/>
  <c r="N101" i="1"/>
  <c r="N97" i="1"/>
  <c r="M96" i="1"/>
  <c r="O96" i="1" s="1"/>
  <c r="N104" i="1"/>
  <c r="N100" i="1"/>
  <c r="N96" i="1"/>
  <c r="N103" i="1"/>
  <c r="N99" i="1"/>
  <c r="N95" i="1"/>
  <c r="N102" i="1"/>
  <c r="N98" i="1"/>
  <c r="N94" i="1"/>
  <c r="R96" i="1" l="1"/>
  <c r="X96" i="1"/>
  <c r="Q96" i="1"/>
  <c r="P103" i="1"/>
  <c r="P104" i="1"/>
  <c r="P97" i="1"/>
  <c r="P96" i="1"/>
  <c r="P94" i="1"/>
  <c r="P102" i="1"/>
  <c r="P101" i="1"/>
  <c r="P100" i="1"/>
  <c r="P98" i="1"/>
  <c r="P95" i="1"/>
  <c r="P99" i="1"/>
  <c r="P93" i="1"/>
  <c r="N106" i="1"/>
  <c r="N107" i="1" s="1"/>
  <c r="Y96" i="1" l="1"/>
  <c r="S96" i="1"/>
  <c r="Y97" i="1"/>
  <c r="S97" i="1"/>
  <c r="Y93" i="1"/>
  <c r="S93" i="1"/>
  <c r="S104" i="1"/>
  <c r="Y104" i="1"/>
  <c r="S103" i="1"/>
  <c r="Y103" i="1"/>
  <c r="S95" i="1"/>
  <c r="Y95" i="1"/>
  <c r="Y99" i="1"/>
  <c r="S99" i="1"/>
  <c r="S94" i="1"/>
  <c r="Y94" i="1"/>
  <c r="S98" i="1"/>
  <c r="Y98" i="1"/>
  <c r="S100" i="1"/>
  <c r="Y100" i="1"/>
  <c r="S101" i="1"/>
  <c r="Y101" i="1"/>
  <c r="S102" i="1"/>
  <c r="Y102" i="1"/>
  <c r="T96" i="1"/>
  <c r="P106" i="1"/>
  <c r="P107" i="1" s="1"/>
  <c r="K93" i="1"/>
  <c r="S106" i="1" l="1"/>
  <c r="S107" i="1" s="1"/>
  <c r="V96" i="1"/>
  <c r="U96" i="1"/>
  <c r="M93" i="1"/>
  <c r="O93" i="1" s="1"/>
  <c r="B68" i="3"/>
  <c r="R93" i="1" l="1"/>
  <c r="X93" i="1"/>
  <c r="Z93" i="1" s="1"/>
  <c r="W96" i="1"/>
  <c r="Z96" i="1"/>
  <c r="K94" i="1"/>
  <c r="K95" i="1"/>
  <c r="K97" i="1"/>
  <c r="K98" i="1"/>
  <c r="K99" i="1"/>
  <c r="K100" i="1"/>
  <c r="K101" i="1"/>
  <c r="K102" i="1"/>
  <c r="K103" i="1"/>
  <c r="K104" i="1"/>
  <c r="AA93" i="1" l="1"/>
  <c r="AC93" i="1" s="1"/>
  <c r="AB93" i="1"/>
  <c r="AA96" i="1"/>
  <c r="AC96" i="1" s="1"/>
  <c r="AB96" i="1"/>
  <c r="Q93" i="1"/>
  <c r="T93" i="1"/>
  <c r="U93" i="1" s="1"/>
  <c r="M95" i="1"/>
  <c r="O95" i="1" s="1"/>
  <c r="D107" i="1"/>
  <c r="I107" i="1"/>
  <c r="H106" i="1"/>
  <c r="M104" i="1"/>
  <c r="O104" i="1" s="1"/>
  <c r="M100" i="1"/>
  <c r="O100" i="1" s="1"/>
  <c r="M103" i="1"/>
  <c r="O103" i="1" s="1"/>
  <c r="M99" i="1"/>
  <c r="O99" i="1" s="1"/>
  <c r="M94" i="1"/>
  <c r="O94" i="1" s="1"/>
  <c r="M102" i="1"/>
  <c r="O102" i="1" s="1"/>
  <c r="M98" i="1"/>
  <c r="O98" i="1" s="1"/>
  <c r="M101" i="1"/>
  <c r="O101" i="1" s="1"/>
  <c r="M97" i="1"/>
  <c r="O97" i="1" s="1"/>
  <c r="K106" i="1"/>
  <c r="J106" i="1" s="1"/>
  <c r="X101" i="1" l="1"/>
  <c r="R101" i="1"/>
  <c r="T101" i="1" s="1"/>
  <c r="R98" i="1"/>
  <c r="T98" i="1" s="1"/>
  <c r="X98" i="1"/>
  <c r="X102" i="1"/>
  <c r="R102" i="1"/>
  <c r="T102" i="1" s="1"/>
  <c r="X94" i="1"/>
  <c r="R94" i="1"/>
  <c r="T94" i="1" s="1"/>
  <c r="X95" i="1"/>
  <c r="R95" i="1"/>
  <c r="T95" i="1" s="1"/>
  <c r="R99" i="1"/>
  <c r="T99" i="1" s="1"/>
  <c r="X99" i="1"/>
  <c r="X103" i="1"/>
  <c r="R103" i="1"/>
  <c r="T103" i="1" s="1"/>
  <c r="R100" i="1"/>
  <c r="T100" i="1" s="1"/>
  <c r="X100" i="1"/>
  <c r="R97" i="1"/>
  <c r="T97" i="1" s="1"/>
  <c r="X97" i="1"/>
  <c r="X104" i="1"/>
  <c r="R104" i="1"/>
  <c r="T104" i="1" s="1"/>
  <c r="O106" i="1"/>
  <c r="O107" i="1" s="1"/>
  <c r="Q102" i="1"/>
  <c r="Q95" i="1"/>
  <c r="Q98" i="1"/>
  <c r="Q94" i="1"/>
  <c r="Q100" i="1"/>
  <c r="Q103" i="1"/>
  <c r="Q104" i="1"/>
  <c r="Q99" i="1"/>
  <c r="Q97" i="1"/>
  <c r="Q101" i="1"/>
  <c r="M106" i="1"/>
  <c r="M107" i="1" s="1"/>
  <c r="K107" i="1"/>
  <c r="X106" i="1" l="1"/>
  <c r="X107" i="1" s="1"/>
  <c r="V98" i="1"/>
  <c r="U98" i="1"/>
  <c r="W93" i="1"/>
  <c r="V103" i="1"/>
  <c r="U103" i="1"/>
  <c r="V95" i="1"/>
  <c r="U95" i="1"/>
  <c r="V101" i="1"/>
  <c r="U101" i="1"/>
  <c r="V100" i="1"/>
  <c r="U100" i="1"/>
  <c r="V97" i="1"/>
  <c r="U97" i="1"/>
  <c r="V102" i="1"/>
  <c r="U102" i="1"/>
  <c r="V99" i="1"/>
  <c r="U99" i="1"/>
  <c r="V94" i="1"/>
  <c r="U94" i="1"/>
  <c r="V104" i="1"/>
  <c r="U104" i="1"/>
  <c r="Q106" i="1"/>
  <c r="V93" i="1"/>
  <c r="V106" i="1" s="1"/>
  <c r="T106" i="1"/>
  <c r="D40" i="1" s="1"/>
  <c r="R106" i="1"/>
  <c r="R107" i="1" s="1"/>
  <c r="E16" i="3"/>
  <c r="E17" i="3"/>
  <c r="E18" i="3"/>
  <c r="E19" i="3"/>
  <c r="E20" i="3"/>
  <c r="E21" i="3"/>
  <c r="E22" i="3"/>
  <c r="H75" i="1" s="1"/>
  <c r="E23" i="3"/>
  <c r="E24" i="3"/>
  <c r="E25" i="3"/>
  <c r="E26" i="3"/>
  <c r="E15" i="3"/>
  <c r="D16" i="3"/>
  <c r="D17" i="3"/>
  <c r="D18" i="3"/>
  <c r="D19" i="3"/>
  <c r="D20" i="3"/>
  <c r="D21" i="3"/>
  <c r="D22" i="3"/>
  <c r="D23" i="3"/>
  <c r="D24" i="3"/>
  <c r="D25" i="3"/>
  <c r="D26" i="3"/>
  <c r="F15" i="3"/>
  <c r="D15" i="3"/>
  <c r="F16" i="3"/>
  <c r="F17" i="3"/>
  <c r="F18" i="3"/>
  <c r="F19" i="3"/>
  <c r="F20" i="3"/>
  <c r="F21" i="3"/>
  <c r="F22" i="3"/>
  <c r="F23" i="3"/>
  <c r="F24" i="3"/>
  <c r="F25" i="3"/>
  <c r="F26" i="3"/>
  <c r="W97" i="1" l="1"/>
  <c r="Z97" i="1"/>
  <c r="W103" i="1"/>
  <c r="Z103" i="1"/>
  <c r="W94" i="1"/>
  <c r="W100" i="1"/>
  <c r="Z100" i="1"/>
  <c r="W104" i="1"/>
  <c r="Z104" i="1"/>
  <c r="W98" i="1"/>
  <c r="Z98" i="1"/>
  <c r="W99" i="1"/>
  <c r="Z99" i="1"/>
  <c r="W102" i="1"/>
  <c r="Z102" i="1"/>
  <c r="W95" i="1"/>
  <c r="Z95" i="1"/>
  <c r="W101" i="1"/>
  <c r="Z101" i="1"/>
  <c r="T107" i="1"/>
  <c r="U106" i="1"/>
  <c r="V107" i="1"/>
  <c r="H68" i="1"/>
  <c r="I68" i="1" s="1"/>
  <c r="U68" i="1" s="1"/>
  <c r="H74" i="1"/>
  <c r="H73" i="1"/>
  <c r="H72" i="1"/>
  <c r="H79" i="1"/>
  <c r="H71" i="1"/>
  <c r="H78" i="1"/>
  <c r="H70" i="1"/>
  <c r="H77" i="1"/>
  <c r="H69" i="1"/>
  <c r="H76" i="1"/>
  <c r="I75" i="1"/>
  <c r="O105" i="4"/>
  <c r="O106" i="4" s="1"/>
  <c r="O104" i="4"/>
  <c r="AA102" i="1" l="1"/>
  <c r="AC102" i="1" s="1"/>
  <c r="AB102" i="1"/>
  <c r="AB99" i="1"/>
  <c r="AA99" i="1"/>
  <c r="AC99" i="1" s="1"/>
  <c r="AB103" i="1"/>
  <c r="AA103" i="1"/>
  <c r="AC103" i="1" s="1"/>
  <c r="AB101" i="1"/>
  <c r="AA101" i="1"/>
  <c r="AC101" i="1" s="1"/>
  <c r="AB98" i="1"/>
  <c r="AA98" i="1"/>
  <c r="AC98" i="1" s="1"/>
  <c r="AB100" i="1"/>
  <c r="AA100" i="1"/>
  <c r="AC100" i="1" s="1"/>
  <c r="AA97" i="1"/>
  <c r="AC97" i="1" s="1"/>
  <c r="AB97" i="1"/>
  <c r="U107" i="1"/>
  <c r="W106" i="1"/>
  <c r="AA95" i="1"/>
  <c r="AC95" i="1" s="1"/>
  <c r="AB95" i="1"/>
  <c r="AA104" i="1"/>
  <c r="AC104" i="1" s="1"/>
  <c r="AB104" i="1"/>
  <c r="U75" i="1"/>
  <c r="Z94" i="1"/>
  <c r="Y106" i="1"/>
  <c r="Y107" i="1" s="1"/>
  <c r="I69" i="1"/>
  <c r="U69" i="1" s="1"/>
  <c r="I74" i="1"/>
  <c r="P74" i="1" s="1"/>
  <c r="I70" i="1"/>
  <c r="U70" i="1" s="1"/>
  <c r="I73" i="1"/>
  <c r="U73" i="1" s="1"/>
  <c r="I78" i="1"/>
  <c r="U78" i="1" s="1"/>
  <c r="I71" i="1"/>
  <c r="U71" i="1" s="1"/>
  <c r="I76" i="1"/>
  <c r="U76" i="1" s="1"/>
  <c r="I77" i="1"/>
  <c r="U77" i="1" s="1"/>
  <c r="I79" i="1"/>
  <c r="P79" i="1" s="1"/>
  <c r="I72" i="1"/>
  <c r="J72" i="1" s="1"/>
  <c r="J68" i="1"/>
  <c r="P68" i="1"/>
  <c r="J70" i="1"/>
  <c r="J75" i="1"/>
  <c r="P75" i="1"/>
  <c r="Q107" i="1"/>
  <c r="G69" i="1"/>
  <c r="G70" i="1"/>
  <c r="G71" i="1"/>
  <c r="G72" i="1"/>
  <c r="G73" i="1"/>
  <c r="G74" i="1"/>
  <c r="G75" i="1"/>
  <c r="G76" i="1"/>
  <c r="G77" i="1"/>
  <c r="G78" i="1"/>
  <c r="G79" i="1"/>
  <c r="G68" i="1"/>
  <c r="F69" i="1"/>
  <c r="F70" i="1"/>
  <c r="F71" i="1"/>
  <c r="F72" i="1"/>
  <c r="F73" i="1"/>
  <c r="F74" i="1"/>
  <c r="F75" i="1"/>
  <c r="F76" i="1"/>
  <c r="F77" i="1"/>
  <c r="F78" i="1"/>
  <c r="F79" i="1"/>
  <c r="F68" i="1"/>
  <c r="P69" i="1" l="1"/>
  <c r="P73" i="1"/>
  <c r="J76" i="1"/>
  <c r="P71" i="1"/>
  <c r="J71" i="1"/>
  <c r="P76" i="1"/>
  <c r="AA94" i="1"/>
  <c r="AC94" i="1" s="1"/>
  <c r="AC106" i="1" s="1"/>
  <c r="AB94" i="1"/>
  <c r="AB106" i="1" s="1"/>
  <c r="AB107" i="1" s="1"/>
  <c r="J74" i="1"/>
  <c r="J73" i="1"/>
  <c r="U79" i="1"/>
  <c r="J79" i="1"/>
  <c r="J77" i="1"/>
  <c r="J69" i="1"/>
  <c r="P77" i="1"/>
  <c r="J78" i="1"/>
  <c r="P70" i="1"/>
  <c r="U72" i="1"/>
  <c r="U74" i="1"/>
  <c r="Z106" i="1"/>
  <c r="P72" i="1"/>
  <c r="P78" i="1"/>
  <c r="G81" i="1"/>
  <c r="Z107" i="1" l="1"/>
  <c r="E40" i="1"/>
  <c r="J81" i="1"/>
  <c r="J82" i="1" s="1"/>
  <c r="Q108" i="1" s="1"/>
  <c r="U81" i="1"/>
  <c r="U82" i="1" s="1"/>
  <c r="AA106" i="1"/>
  <c r="AA107" i="1" s="1"/>
  <c r="G82" i="1"/>
  <c r="H108" i="1" s="1"/>
  <c r="Q105" i="4" l="1"/>
  <c r="Q104" i="4"/>
  <c r="R104" i="4"/>
  <c r="R105" i="4"/>
  <c r="R106" i="4" s="1"/>
  <c r="P104" i="4"/>
  <c r="P105" i="4"/>
  <c r="P106" i="4" s="1"/>
  <c r="Q106" i="4" l="1"/>
  <c r="D81" i="1"/>
  <c r="D82" i="1" s="1"/>
  <c r="I63" i="4"/>
  <c r="I64" i="4"/>
  <c r="L68" i="4" s="1"/>
  <c r="I65" i="4"/>
  <c r="I66" i="4"/>
  <c r="I67" i="4"/>
  <c r="L67" i="4" s="1"/>
  <c r="I68" i="4"/>
  <c r="I69" i="4"/>
  <c r="I70" i="4"/>
  <c r="I71" i="4"/>
  <c r="I72" i="4"/>
  <c r="I73" i="4"/>
  <c r="L66" i="4" s="1"/>
  <c r="I62" i="4"/>
  <c r="H65" i="4"/>
  <c r="H71" i="4"/>
  <c r="F45" i="4"/>
  <c r="F63" i="4"/>
  <c r="H63" i="4" s="1"/>
  <c r="F64" i="4"/>
  <c r="H64" i="4" s="1"/>
  <c r="L64" i="4" s="1"/>
  <c r="F65" i="4"/>
  <c r="F66" i="4"/>
  <c r="H66" i="4" s="1"/>
  <c r="F67" i="4"/>
  <c r="H67" i="4" s="1"/>
  <c r="L63" i="4" s="1"/>
  <c r="F68" i="4"/>
  <c r="H68" i="4" s="1"/>
  <c r="F69" i="4"/>
  <c r="H69" i="4" s="1"/>
  <c r="F70" i="4"/>
  <c r="H70" i="4" s="1"/>
  <c r="F71" i="4"/>
  <c r="F72" i="4"/>
  <c r="H72" i="4" s="1"/>
  <c r="L62" i="4" s="1"/>
  <c r="F73" i="4"/>
  <c r="H73" i="4" s="1"/>
  <c r="F62" i="4"/>
  <c r="H62" i="4" s="1"/>
  <c r="E83" i="1" l="1"/>
  <c r="C38" i="1"/>
  <c r="C42" i="1" s="1"/>
  <c r="F81" i="1"/>
  <c r="E82" i="1"/>
  <c r="F30" i="4"/>
  <c r="C15" i="4" s="1"/>
  <c r="F56" i="4"/>
  <c r="F55" i="4"/>
  <c r="F54" i="4"/>
  <c r="F53" i="4"/>
  <c r="F52" i="4"/>
  <c r="F51" i="4"/>
  <c r="F50" i="4"/>
  <c r="F49" i="4"/>
  <c r="F48" i="4"/>
  <c r="F47" i="4"/>
  <c r="F46" i="4"/>
  <c r="F41" i="4"/>
  <c r="F40" i="4"/>
  <c r="F39" i="4"/>
  <c r="F38" i="4"/>
  <c r="F37" i="4"/>
  <c r="F36" i="4"/>
  <c r="F35" i="4"/>
  <c r="F34" i="4"/>
  <c r="F33" i="4"/>
  <c r="C18" i="4" s="1"/>
  <c r="F32" i="4"/>
  <c r="C17" i="4" s="1"/>
  <c r="F31" i="4"/>
  <c r="D17" i="5" l="1"/>
  <c r="E17" i="5" s="1"/>
  <c r="F17" i="5" s="1"/>
  <c r="G17" i="5" s="1"/>
  <c r="H17" i="5" s="1"/>
  <c r="I17" i="5" s="1"/>
  <c r="J17" i="5" s="1"/>
  <c r="K17" i="5" s="1"/>
  <c r="L17" i="5" s="1"/>
  <c r="M17" i="5" s="1"/>
  <c r="N17" i="5" s="1"/>
  <c r="O17" i="5" s="1"/>
  <c r="P17" i="5" s="1"/>
  <c r="Q17" i="5" s="1"/>
  <c r="R17" i="5" s="1"/>
  <c r="G38" i="1"/>
  <c r="F38" i="1"/>
  <c r="L71" i="1"/>
  <c r="C21" i="4"/>
  <c r="L68" i="1"/>
  <c r="M68" i="1" s="1"/>
  <c r="L70" i="1"/>
  <c r="C16" i="4"/>
  <c r="C23" i="4"/>
  <c r="C25" i="4"/>
  <c r="C19" i="4"/>
  <c r="C20" i="4"/>
  <c r="I47" i="4"/>
  <c r="I32" i="4"/>
  <c r="C24" i="4"/>
  <c r="I46" i="4"/>
  <c r="C26" i="4"/>
  <c r="I30" i="4"/>
  <c r="I45" i="4"/>
  <c r="I31" i="4"/>
  <c r="C22" i="4"/>
  <c r="S17" i="5" l="1"/>
  <c r="L72" i="1"/>
  <c r="L78" i="1"/>
  <c r="L76" i="1"/>
  <c r="L69" i="1"/>
  <c r="L79" i="1"/>
  <c r="L77" i="1"/>
  <c r="L74" i="1"/>
  <c r="L75" i="1"/>
  <c r="L73" i="1"/>
  <c r="O68" i="1"/>
  <c r="V68" i="1" s="1"/>
  <c r="W68" i="1" s="1"/>
  <c r="X68" i="1" s="1"/>
  <c r="Y68" i="1" s="1"/>
  <c r="I17" i="4"/>
  <c r="I16" i="4"/>
  <c r="I15" i="4"/>
  <c r="Q68" i="1" l="1"/>
  <c r="M79" i="1" l="1"/>
  <c r="O79" i="1" s="1"/>
  <c r="I81" i="1"/>
  <c r="I82" i="1" s="1"/>
  <c r="M77" i="1"/>
  <c r="O77" i="1" s="1"/>
  <c r="M73" i="1"/>
  <c r="O73" i="1" s="1"/>
  <c r="M71" i="1"/>
  <c r="O71" i="1" s="1"/>
  <c r="M69" i="1"/>
  <c r="M70" i="1"/>
  <c r="M75" i="1"/>
  <c r="M72" i="1"/>
  <c r="M74" i="1"/>
  <c r="M76" i="1"/>
  <c r="M78" i="1"/>
  <c r="Q77" i="1" l="1"/>
  <c r="V77" i="1"/>
  <c r="W77" i="1" s="1"/>
  <c r="X77" i="1" s="1"/>
  <c r="Y77" i="1" s="1"/>
  <c r="Q79" i="1"/>
  <c r="V79" i="1"/>
  <c r="W79" i="1" s="1"/>
  <c r="X79" i="1" s="1"/>
  <c r="Y79" i="1" s="1"/>
  <c r="Q71" i="1"/>
  <c r="V71" i="1"/>
  <c r="W71" i="1" s="1"/>
  <c r="X71" i="1" s="1"/>
  <c r="Y71" i="1" s="1"/>
  <c r="Q73" i="1"/>
  <c r="V73" i="1"/>
  <c r="W73" i="1" s="1"/>
  <c r="X73" i="1" s="1"/>
  <c r="Y73" i="1" s="1"/>
  <c r="M81" i="1"/>
  <c r="M82" i="1" s="1"/>
  <c r="P81" i="1"/>
  <c r="P82" i="1" s="1"/>
  <c r="O69" i="1"/>
  <c r="O78" i="1"/>
  <c r="O76" i="1"/>
  <c r="O74" i="1"/>
  <c r="O70" i="1"/>
  <c r="O72" i="1"/>
  <c r="O75" i="1"/>
  <c r="Q74" i="1" l="1"/>
  <c r="V74" i="1"/>
  <c r="W74" i="1" s="1"/>
  <c r="X74" i="1" s="1"/>
  <c r="Y74" i="1" s="1"/>
  <c r="Q69" i="1"/>
  <c r="V69" i="1"/>
  <c r="Q76" i="1"/>
  <c r="V76" i="1"/>
  <c r="W76" i="1" s="1"/>
  <c r="X76" i="1" s="1"/>
  <c r="Y76" i="1" s="1"/>
  <c r="Q75" i="1"/>
  <c r="V75" i="1"/>
  <c r="W75" i="1" s="1"/>
  <c r="X75" i="1" s="1"/>
  <c r="Y75" i="1" s="1"/>
  <c r="Q78" i="1"/>
  <c r="V78" i="1"/>
  <c r="W78" i="1" s="1"/>
  <c r="X78" i="1" s="1"/>
  <c r="Y78" i="1" s="1"/>
  <c r="Q72" i="1"/>
  <c r="V72" i="1"/>
  <c r="W72" i="1" s="1"/>
  <c r="X72" i="1" s="1"/>
  <c r="Y72" i="1" s="1"/>
  <c r="Q70" i="1"/>
  <c r="R70" i="1" s="1"/>
  <c r="S70" i="1" s="1"/>
  <c r="T70" i="1" s="1"/>
  <c r="V70" i="1"/>
  <c r="W70" i="1" s="1"/>
  <c r="X70" i="1" s="1"/>
  <c r="Y70" i="1" s="1"/>
  <c r="R69" i="1"/>
  <c r="S69" i="1" s="1"/>
  <c r="T69" i="1" s="1"/>
  <c r="R78" i="1"/>
  <c r="S78" i="1" s="1"/>
  <c r="T78" i="1" s="1"/>
  <c r="R77" i="1"/>
  <c r="S77" i="1" s="1"/>
  <c r="T77" i="1" s="1"/>
  <c r="R73" i="1"/>
  <c r="S73" i="1" s="1"/>
  <c r="T73" i="1" s="1"/>
  <c r="R71" i="1"/>
  <c r="S71" i="1" s="1"/>
  <c r="T71" i="1" s="1"/>
  <c r="W69" i="1" l="1"/>
  <c r="V81" i="1"/>
  <c r="V82" i="1" s="1"/>
  <c r="R75" i="1"/>
  <c r="S75" i="1" s="1"/>
  <c r="T75" i="1" s="1"/>
  <c r="Q81" i="1"/>
  <c r="R68" i="1"/>
  <c r="R72" i="1"/>
  <c r="S72" i="1" s="1"/>
  <c r="T72" i="1" s="1"/>
  <c r="R76" i="1"/>
  <c r="S76" i="1" s="1"/>
  <c r="T76" i="1" s="1"/>
  <c r="R74" i="1"/>
  <c r="S74" i="1" s="1"/>
  <c r="T74" i="1" s="1"/>
  <c r="R79" i="1"/>
  <c r="S79" i="1" s="1"/>
  <c r="T79" i="1" s="1"/>
  <c r="X69" i="1" l="1"/>
  <c r="W81" i="1"/>
  <c r="E39" i="1" s="1"/>
  <c r="E41" i="1" s="1"/>
  <c r="E42" i="1" s="1"/>
  <c r="S68" i="1"/>
  <c r="T68" i="1" s="1"/>
  <c r="Q82" i="1"/>
  <c r="R81" i="1"/>
  <c r="D39" i="1" s="1"/>
  <c r="D41" i="1" s="1"/>
  <c r="D42" i="1" l="1"/>
  <c r="D37" i="5"/>
  <c r="D58" i="5"/>
  <c r="F39" i="1"/>
  <c r="H39" i="1"/>
  <c r="G39" i="1"/>
  <c r="I39" i="1"/>
  <c r="W82" i="1"/>
  <c r="W83" i="1"/>
  <c r="Y69" i="1"/>
  <c r="X81" i="1"/>
  <c r="F40" i="1"/>
  <c r="H40" i="1" s="1"/>
  <c r="G40" i="1"/>
  <c r="I40" i="1" s="1"/>
  <c r="R83" i="1"/>
  <c r="S81" i="1"/>
  <c r="R82" i="1"/>
  <c r="F41" i="1" l="1"/>
  <c r="H42" i="1" s="1"/>
  <c r="G41" i="1"/>
  <c r="G42" i="1" s="1"/>
  <c r="F44" i="1"/>
  <c r="T81" i="1"/>
  <c r="S82" i="1"/>
  <c r="Y81" i="1"/>
  <c r="X82" i="1"/>
  <c r="D40" i="5"/>
  <c r="D43" i="5" s="1"/>
  <c r="G44" i="1" l="1"/>
  <c r="E37" i="5"/>
  <c r="E40" i="5" s="1"/>
  <c r="E41" i="5" s="1"/>
  <c r="E58" i="5"/>
  <c r="D61" i="5"/>
  <c r="D41" i="5"/>
  <c r="D44" i="5"/>
  <c r="I42" i="1" l="1"/>
  <c r="E43" i="5"/>
  <c r="E44" i="5" s="1"/>
  <c r="F37" i="5"/>
  <c r="F40" i="5" s="1"/>
  <c r="F43" i="5" s="1"/>
  <c r="D64" i="5"/>
  <c r="D62" i="5"/>
  <c r="E61" i="5"/>
  <c r="F58" i="5"/>
  <c r="F41" i="5" l="1"/>
  <c r="G37" i="5"/>
  <c r="G40" i="5" s="1"/>
  <c r="G41" i="5" s="1"/>
  <c r="G58" i="5"/>
  <c r="F61" i="5"/>
  <c r="E62" i="5"/>
  <c r="E64" i="5"/>
  <c r="E65" i="5" s="1"/>
  <c r="D65" i="5"/>
  <c r="D19" i="5"/>
  <c r="F44" i="5"/>
  <c r="E16" i="5"/>
  <c r="G43" i="5" l="1"/>
  <c r="G44" i="5" s="1"/>
  <c r="H37" i="5"/>
  <c r="F62" i="5"/>
  <c r="F64" i="5"/>
  <c r="G61" i="5"/>
  <c r="H58" i="5"/>
  <c r="D20" i="5"/>
  <c r="D22" i="5"/>
  <c r="D23" i="5" s="1"/>
  <c r="F16" i="5"/>
  <c r="E19" i="5"/>
  <c r="I37" i="5" l="1"/>
  <c r="H40" i="5"/>
  <c r="I58" i="5"/>
  <c r="H61" i="5"/>
  <c r="G64" i="5"/>
  <c r="G65" i="5" s="1"/>
  <c r="G62" i="5"/>
  <c r="F65" i="5"/>
  <c r="E22" i="5"/>
  <c r="E23" i="5" s="1"/>
  <c r="E20" i="5"/>
  <c r="F19" i="5"/>
  <c r="G16" i="5"/>
  <c r="H41" i="5" l="1"/>
  <c r="H43" i="5"/>
  <c r="H44" i="5" s="1"/>
  <c r="J37" i="5"/>
  <c r="I40" i="5"/>
  <c r="H64" i="5"/>
  <c r="H62" i="5"/>
  <c r="J58" i="5"/>
  <c r="I61" i="5"/>
  <c r="G19" i="5"/>
  <c r="H16" i="5"/>
  <c r="F22" i="5"/>
  <c r="F23" i="5" s="1"/>
  <c r="F20" i="5"/>
  <c r="I41" i="5" l="1"/>
  <c r="I43" i="5"/>
  <c r="I44" i="5" s="1"/>
  <c r="K37" i="5"/>
  <c r="J40" i="5"/>
  <c r="K58" i="5"/>
  <c r="J61" i="5"/>
  <c r="H65" i="5"/>
  <c r="I64" i="5"/>
  <c r="I65" i="5" s="1"/>
  <c r="I62" i="5"/>
  <c r="I16" i="5"/>
  <c r="H19" i="5"/>
  <c r="G20" i="5"/>
  <c r="G22" i="5"/>
  <c r="G23" i="5" s="1"/>
  <c r="L37" i="5" l="1"/>
  <c r="K40" i="5"/>
  <c r="J41" i="5"/>
  <c r="J43" i="5"/>
  <c r="J44" i="5" s="1"/>
  <c r="J62" i="5"/>
  <c r="J64" i="5"/>
  <c r="J65" i="5" s="1"/>
  <c r="L58" i="5"/>
  <c r="K61" i="5"/>
  <c r="H20" i="5"/>
  <c r="H22" i="5"/>
  <c r="H23" i="5" s="1"/>
  <c r="J16" i="5"/>
  <c r="I19" i="5"/>
  <c r="K43" i="5" l="1"/>
  <c r="K44" i="5" s="1"/>
  <c r="K41" i="5"/>
  <c r="M37" i="5"/>
  <c r="L40" i="5"/>
  <c r="M58" i="5"/>
  <c r="L61" i="5"/>
  <c r="K64" i="5"/>
  <c r="K62" i="5"/>
  <c r="I22" i="5"/>
  <c r="I23" i="5" s="1"/>
  <c r="I20" i="5"/>
  <c r="K16" i="5"/>
  <c r="J19" i="5"/>
  <c r="M40" i="5" l="1"/>
  <c r="N37" i="5"/>
  <c r="L43" i="5"/>
  <c r="L44" i="5" s="1"/>
  <c r="L41" i="5"/>
  <c r="K65" i="5"/>
  <c r="L62" i="5"/>
  <c r="L64" i="5"/>
  <c r="L65" i="5" s="1"/>
  <c r="M61" i="5"/>
  <c r="N58" i="5"/>
  <c r="K19" i="5"/>
  <c r="L16" i="5"/>
  <c r="J22" i="5"/>
  <c r="J23" i="5" s="1"/>
  <c r="J20" i="5"/>
  <c r="N40" i="5" l="1"/>
  <c r="O37" i="5"/>
  <c r="M41" i="5"/>
  <c r="M43" i="5"/>
  <c r="M44" i="5" s="1"/>
  <c r="O58" i="5"/>
  <c r="N61" i="5"/>
  <c r="M64" i="5"/>
  <c r="M65" i="5" s="1"/>
  <c r="M62" i="5"/>
  <c r="L19" i="5"/>
  <c r="M16" i="5"/>
  <c r="K20" i="5"/>
  <c r="K22" i="5"/>
  <c r="K23" i="5" s="1"/>
  <c r="O40" i="5" l="1"/>
  <c r="P37" i="5"/>
  <c r="N43" i="5"/>
  <c r="N44" i="5" s="1"/>
  <c r="N41" i="5"/>
  <c r="N64" i="5"/>
  <c r="N65" i="5" s="1"/>
  <c r="N62" i="5"/>
  <c r="P58" i="5"/>
  <c r="O61" i="5"/>
  <c r="N16" i="5"/>
  <c r="M19" i="5"/>
  <c r="L20" i="5"/>
  <c r="L22" i="5"/>
  <c r="L23" i="5" s="1"/>
  <c r="Q37" i="5" l="1"/>
  <c r="P40" i="5"/>
  <c r="O43" i="5"/>
  <c r="O44" i="5" s="1"/>
  <c r="O41" i="5"/>
  <c r="O64" i="5"/>
  <c r="O65" i="5" s="1"/>
  <c r="O62" i="5"/>
  <c r="P61" i="5"/>
  <c r="Q58" i="5"/>
  <c r="M20" i="5"/>
  <c r="M22" i="5"/>
  <c r="M23" i="5" s="1"/>
  <c r="O16" i="5"/>
  <c r="N19" i="5"/>
  <c r="P41" i="5" l="1"/>
  <c r="P43" i="5"/>
  <c r="P44" i="5" s="1"/>
  <c r="R37" i="5"/>
  <c r="Q40" i="5"/>
  <c r="P64" i="5"/>
  <c r="P65" i="5" s="1"/>
  <c r="P62" i="5"/>
  <c r="Q61" i="5"/>
  <c r="R58" i="5"/>
  <c r="P16" i="5"/>
  <c r="O19" i="5"/>
  <c r="N22" i="5"/>
  <c r="N23" i="5" s="1"/>
  <c r="N20" i="5"/>
  <c r="Q43" i="5" l="1"/>
  <c r="Q44" i="5" s="1"/>
  <c r="Q41" i="5"/>
  <c r="R40" i="5"/>
  <c r="S37" i="5"/>
  <c r="S40" i="5" s="1"/>
  <c r="R61" i="5"/>
  <c r="S58" i="5"/>
  <c r="S61" i="5" s="1"/>
  <c r="Q64" i="5"/>
  <c r="Q65" i="5" s="1"/>
  <c r="Q62" i="5"/>
  <c r="O22" i="5"/>
  <c r="O23" i="5" s="1"/>
  <c r="O20" i="5"/>
  <c r="P19" i="5"/>
  <c r="Q16" i="5"/>
  <c r="R43" i="5" l="1"/>
  <c r="R41" i="5"/>
  <c r="S41" i="5" s="1"/>
  <c r="R64" i="5"/>
  <c r="R62" i="5"/>
  <c r="S62" i="5" s="1"/>
  <c r="P20" i="5"/>
  <c r="P22" i="5"/>
  <c r="P23" i="5" s="1"/>
  <c r="Q19" i="5"/>
  <c r="R16" i="5"/>
  <c r="R44" i="5" l="1"/>
  <c r="S43" i="5"/>
  <c r="R65" i="5"/>
  <c r="S64" i="5"/>
  <c r="R19" i="5"/>
  <c r="Q20" i="5"/>
  <c r="Q22" i="5"/>
  <c r="Q23" i="5" s="1"/>
  <c r="C46" i="5" l="1"/>
  <c r="D47" i="1" s="1"/>
  <c r="S44" i="5"/>
  <c r="C67" i="5"/>
  <c r="E47" i="1" s="1"/>
  <c r="G47" i="1" s="1"/>
  <c r="S65" i="5"/>
  <c r="R20" i="5"/>
  <c r="R22" i="5"/>
  <c r="R23" i="5" s="1"/>
  <c r="C25" i="5" s="1"/>
  <c r="S16" i="5" l="1"/>
  <c r="S19" i="5" s="1"/>
  <c r="S20" i="5" l="1"/>
  <c r="S22" i="5" l="1"/>
  <c r="C47" i="1" l="1"/>
  <c r="S23" i="5"/>
  <c r="I47" i="1" l="1"/>
  <c r="F47" i="1"/>
  <c r="H4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Hannah Blake</author>
    <author>Celeste Cizik</author>
  </authors>
  <commentList>
    <comment ref="C11" authorId="0" shapeId="0" xr:uid="{4D16ACB6-270B-455D-B9D2-E0FFF042366F}">
      <text>
        <r>
          <rPr>
            <sz val="9"/>
            <color indexed="81"/>
            <rFont val="Tahoma"/>
            <family val="2"/>
          </rPr>
          <t xml:space="preserve">Typical heating efficiencies range from 70% for older gas fired equipment to 95% for new high efficiency condensing equipment. </t>
        </r>
      </text>
    </comment>
    <comment ref="J11" authorId="1" shapeId="0" xr:uid="{14A2D908-3692-4A77-A818-1F8BBE8077A4}">
      <text>
        <r>
          <rPr>
            <sz val="9"/>
            <color indexed="81"/>
            <rFont val="Tahoma"/>
            <family val="2"/>
          </rPr>
          <t xml:space="preserve">Populate rates by selecting the relevant "Rate Type" and "Utility Rate Structure". For other rates, select "Custom" and enter new rate on the Lookups tab.
</t>
        </r>
      </text>
    </comment>
    <comment ref="C15" authorId="1" shapeId="0" xr:uid="{DC7B9B41-7362-4BFD-BFFF-5378ABDCCC4B}">
      <text>
        <r>
          <rPr>
            <sz val="9"/>
            <color indexed="81"/>
            <rFont val="Tahoma"/>
            <family val="2"/>
          </rPr>
          <t xml:space="preserve">Cooling savings would not typically be considered for new construction or end of life replacement where the new heat pump equipment is being compared to new high efficiency cooling equipment.
</t>
        </r>
      </text>
    </comment>
    <comment ref="E19" authorId="1" shapeId="0" xr:uid="{744EFEC3-7EC2-43CC-B820-D50C5FD13546}">
      <text>
        <r>
          <rPr>
            <sz val="9"/>
            <color indexed="81"/>
            <rFont val="Tahoma"/>
            <family val="2"/>
          </rPr>
          <t xml:space="preserve">If New Construction is selected, the "effective implementation cost" considers the difference in cost between the standard efficiency natural gas replacement (including natural gas hook-up and piping) and the high efficiency heat pump replacement. 
If EOL is selected, the "effective implementation cost" considers the difference in cost between the standard efficiency natural gas replacement and the high efficiency heat pump replacement. 
If Retrofit is selected, the full cost of the heat pump implementation is considered.
</t>
        </r>
      </text>
    </comment>
    <comment ref="D22" authorId="1" shapeId="0" xr:uid="{6E6FA9C0-068D-4968-A64D-034FC75C3590}">
      <text>
        <r>
          <rPr>
            <b/>
            <sz val="9"/>
            <color indexed="81"/>
            <rFont val="Tahoma"/>
            <family val="2"/>
          </rPr>
          <t>Residential:</t>
        </r>
        <r>
          <rPr>
            <sz val="9"/>
            <color indexed="81"/>
            <rFont val="Tahoma"/>
            <family val="2"/>
          </rPr>
          <t xml:space="preserve">
From contractor input for retrofits, typical total installed cost for a single zone central (ie. hooked up to the existing duct system) large (48kbtu) high efficiency cold climate air source heat pump is around $14,000 - $16,000 for a retrofit. Single zone non-ducted high wall cassette and baseboard systems will be less expensive, whereas single zone non-ducted ceiling cassettes or mini-ducted units will be more expensive.  If the loads are smaller, the cost is less.
From contractor input for new constuction, total installed costs are typically $12,000 - $15,000.
From web research, air source heat pump installed costs are $3,635 - $5,300 for each indoor air handler you install in each room (or zone). The total installed cost for a ducted central air source heat pump system can range from $10,500 - $18,975.
</t>
        </r>
        <r>
          <rPr>
            <b/>
            <sz val="9"/>
            <color indexed="81"/>
            <rFont val="Tahoma"/>
            <family val="2"/>
          </rPr>
          <t>Commercial</t>
        </r>
        <r>
          <rPr>
            <sz val="9"/>
            <color indexed="81"/>
            <rFont val="Tahoma"/>
            <family val="2"/>
          </rPr>
          <t xml:space="preserve">:
From contractor input, typical installed cost for a heat pump 10 ton Roof Top Unit is $2,400 - $2,600 per ton. This includes labor, permitting, rigging, and tstat. It does not include electrical installation/modifications.
</t>
        </r>
      </text>
    </comment>
    <comment ref="E22" authorId="1" shapeId="0" xr:uid="{41BE5AA0-C784-414F-98CF-662E6437F14E}">
      <text>
        <r>
          <rPr>
            <b/>
            <sz val="9"/>
            <color indexed="81"/>
            <rFont val="Tahoma"/>
            <family val="2"/>
          </rPr>
          <t xml:space="preserve">Residential:
</t>
        </r>
        <r>
          <rPr>
            <sz val="9"/>
            <color indexed="81"/>
            <rFont val="Tahoma"/>
            <family val="2"/>
          </rPr>
          <t xml:space="preserve">From contractor input for retrofits, multi-stage variable speed high efficiency gas furnaces typically cost around $6,500 - $7,500.  For multi-stage 18+ SEER AC units, typical costs are around $7,500 - $8,500. The total cost for high efficiency furnace and AC is $14,000 - $16,000. 
From contractor input for new constuction, total installed costs are typically $12,000 - $15,000.
</t>
        </r>
        <r>
          <rPr>
            <b/>
            <sz val="9"/>
            <color indexed="81"/>
            <rFont val="Tahoma"/>
            <family val="2"/>
          </rPr>
          <t xml:space="preserve">Commercial:
</t>
        </r>
        <r>
          <rPr>
            <sz val="9"/>
            <color indexed="81"/>
            <rFont val="Tahoma"/>
            <family val="2"/>
          </rPr>
          <t>From contractor input, typical installed cost for a standard natural gas/ DX RTU is $2,400 - $2,600 / ton. This includes labor, permitting, rigging, tstat. It does not include electrical or gas installation/modifications.</t>
        </r>
      </text>
    </comment>
    <comment ref="J22" authorId="1" shapeId="0" xr:uid="{DC6725EC-A4AA-46AF-9BED-A5D8617C4F88}">
      <text>
        <r>
          <rPr>
            <sz val="9"/>
            <color indexed="81"/>
            <rFont val="Tahoma"/>
            <family val="2"/>
          </rPr>
          <t>These inputs can be used to test the % rate reductions needed to achieve cost savings.</t>
        </r>
      </text>
    </comment>
    <comment ref="D24" authorId="1" shapeId="0" xr:uid="{ED99C55E-E033-4BC5-904C-B0C0908DDB9F}">
      <text>
        <r>
          <rPr>
            <sz val="9"/>
            <color indexed="81"/>
            <rFont val="Tahoma"/>
            <family val="2"/>
          </rPr>
          <t xml:space="preserve">Typical heat pump water heater costs are between $3,800 and $4,500 depending on whether a new electrical circuit is needed, how far electrical needs to be run, and whether the new heat pump is connecting to intake and/or exhaust ducts.
</t>
        </r>
      </text>
    </comment>
    <comment ref="E24" authorId="1" shapeId="0" xr:uid="{AD1F275F-CC8F-44D9-B398-06A5CB1B8856}">
      <text>
        <r>
          <rPr>
            <sz val="9"/>
            <color indexed="81"/>
            <rFont val="Tahoma"/>
            <family val="2"/>
          </rPr>
          <t xml:space="preserve">RS Means 50 gallon water heater cost is $2,400
</t>
        </r>
      </text>
    </comment>
    <comment ref="D25" authorId="1" shapeId="0" xr:uid="{9FDD51E5-AF99-4147-B40A-1D3D1ECCF9D5}">
      <text>
        <r>
          <rPr>
            <b/>
            <sz val="9"/>
            <color indexed="81"/>
            <rFont val="Tahoma"/>
            <family val="2"/>
          </rPr>
          <t>Residential:</t>
        </r>
        <r>
          <rPr>
            <sz val="9"/>
            <color indexed="81"/>
            <rFont val="Tahoma"/>
            <family val="2"/>
          </rPr>
          <t xml:space="preserve">
For a retrofit, a new electrical circuit for the central heat pump is typically around $1,200.  For some existing homes with AC units, you can re-use the existing circuit for the new central heat pump so a new circuit is not needed. For other homes, a new circuit is needed because the existing circuit is not big enough, AC was not in place previously, the existing circuit doesn't meet code, or the heat pump requires an additional circuit for backup heat (not keeping natural gas backup). There will also be electrical cost to add a circuit for the heat pump water heater if it is replacing a natural gas water heater.
New construction is expected to have a smaller electrical add, primarily for the heat pump water heater connection. The electrical cost for a new central heat pump should be similar to a new standard AC system.
</t>
        </r>
        <r>
          <rPr>
            <b/>
            <sz val="9"/>
            <color indexed="81"/>
            <rFont val="Tahoma"/>
            <family val="2"/>
          </rPr>
          <t>Commercial:</t>
        </r>
        <r>
          <rPr>
            <sz val="9"/>
            <color indexed="81"/>
            <rFont val="Tahoma"/>
            <family val="2"/>
          </rPr>
          <t xml:space="preserve">
Since both RTU scenarios will require electrical for cooling, the full cost of electrical is not included in the new construction option. Retrofits are also assumed to have sufficient electrical supply to the RTUs.
Some modification to the eletrical supply may be needed for either scenario, primarily for the heat pump water heater electrical connection, estimated to cost around $1,500 - $2,500.</t>
        </r>
      </text>
    </comment>
    <comment ref="E26" authorId="1" shapeId="0" xr:uid="{7FE3F210-4B6D-473E-84A1-911EA0CF75E0}">
      <text>
        <r>
          <rPr>
            <b/>
            <sz val="9"/>
            <color indexed="81"/>
            <rFont val="Tahoma"/>
            <family val="2"/>
          </rPr>
          <t>Residential:</t>
        </r>
        <r>
          <rPr>
            <sz val="9"/>
            <color indexed="81"/>
            <rFont val="Tahoma"/>
            <family val="2"/>
          </rPr>
          <t xml:space="preserve">
Typical cost for natural gas hookup and piping are around $5,000 - $8,000. </t>
        </r>
        <r>
          <rPr>
            <sz val="9"/>
            <color indexed="81"/>
            <rFont val="Tahoma"/>
            <family val="2"/>
          </rPr>
          <t xml:space="preserve">
</t>
        </r>
        <r>
          <rPr>
            <b/>
            <sz val="9"/>
            <color indexed="81"/>
            <rFont val="Tahoma"/>
            <family val="2"/>
          </rPr>
          <t>Commercial</t>
        </r>
        <r>
          <rPr>
            <sz val="9"/>
            <color indexed="81"/>
            <rFont val="Tahoma"/>
            <family val="2"/>
          </rPr>
          <t>:
In addition to natural gas hookup, it is estimated that there is a cost of $1,500 - $3,000 to run natural gas piping to each RTU.</t>
        </r>
      </text>
    </comment>
    <comment ref="J27" authorId="1" shapeId="0" xr:uid="{C6967853-BAD1-4A80-8B69-40CACD050334}">
      <text>
        <r>
          <rPr>
            <sz val="9"/>
            <color indexed="81"/>
            <rFont val="Tahoma"/>
            <family val="2"/>
          </rPr>
          <t xml:space="preserve">Populate rates by selecting the relevant "Rate Type" and "Utility Rate Structure". For other rates, select "Custom" and enter new rate on the Lookups tab.
</t>
        </r>
      </text>
    </comment>
    <comment ref="D28" authorId="1" shapeId="0" xr:uid="{C231C82C-4BFC-4A1B-9CB8-D0B83C24482E}">
      <text>
        <r>
          <rPr>
            <b/>
            <u/>
            <sz val="9"/>
            <color indexed="81"/>
            <rFont val="Tahoma"/>
            <family val="2"/>
          </rPr>
          <t>Residential</t>
        </r>
        <r>
          <rPr>
            <sz val="9"/>
            <color indexed="81"/>
            <rFont val="Tahoma"/>
            <family val="2"/>
          </rPr>
          <t xml:space="preserve">
Based on Xcel Energy rebates:
- $400 for 50 gal HP water heater
- $300 for standard efficiency heat pump (under 15 SEER, 12.5 EER) or $500 for high efficiency heat pump (15+SEER, 12.5+ EER)
</t>
        </r>
        <r>
          <rPr>
            <b/>
            <u/>
            <sz val="9"/>
            <color indexed="81"/>
            <rFont val="Tahoma"/>
            <family val="2"/>
          </rPr>
          <t>Commercial</t>
        </r>
        <r>
          <rPr>
            <sz val="9"/>
            <color indexed="81"/>
            <rFont val="Tahoma"/>
            <family val="2"/>
          </rPr>
          <t xml:space="preserve">
Xcel Energy does not currently have rebates specifically for heat pumps. </t>
        </r>
      </text>
    </comment>
    <comment ref="D67" authorId="1" shapeId="0" xr:uid="{05D8B3B6-8DAE-4BD4-9CCD-EF693FB3648D}">
      <text>
        <r>
          <rPr>
            <sz val="9"/>
            <color indexed="81"/>
            <rFont val="Tahoma"/>
            <family val="2"/>
          </rPr>
          <t xml:space="preserve">Enter data from current utility bills.
</t>
        </r>
      </text>
    </comment>
    <comment ref="L67" authorId="1" shapeId="0" xr:uid="{7E0A72B0-93CE-4A17-88E6-78CB3A2CC5FF}">
      <text>
        <r>
          <rPr>
            <sz val="9"/>
            <color indexed="81"/>
            <rFont val="Tahoma"/>
            <family val="2"/>
          </rPr>
          <t>See Demand Data tab for additional detail. Defaults should generally be used here unless 15 minute interval data is available for the current heating fuel.</t>
        </r>
      </text>
    </comment>
    <comment ref="N67" authorId="1" shapeId="0" xr:uid="{47912828-F6A7-40D2-8715-513232375B2C}">
      <text>
        <r>
          <rPr>
            <sz val="9"/>
            <color indexed="81"/>
            <rFont val="Tahoma"/>
            <family val="2"/>
          </rPr>
          <t>Electric heating will shift the electric peak demand in winter months from mid day to early morning. This column applies a factor to only include the portion of electric heating kW that will add to the baseline peak. The existing peak profile can be reviewed to adjust this estimate, if available. The defaults entered are based on an analysis of past projects (see Demand Data tab).</t>
        </r>
      </text>
    </comment>
    <comment ref="D92" authorId="1" shapeId="0" xr:uid="{AB11E7EF-B7DE-4ECD-9D5E-6150E6DED8CF}">
      <text>
        <r>
          <rPr>
            <sz val="9"/>
            <color indexed="81"/>
            <rFont val="Tahoma"/>
            <family val="2"/>
          </rPr>
          <t xml:space="preserve">Enter data from utility bills
</t>
        </r>
      </text>
    </comment>
    <comment ref="F92" authorId="1" shapeId="0" xr:uid="{9C467175-D88E-4DA9-BC37-21CA51309BB4}">
      <text>
        <r>
          <rPr>
            <sz val="9"/>
            <color indexed="81"/>
            <rFont val="Tahoma"/>
            <family val="2"/>
          </rPr>
          <t xml:space="preserve">The default "On Peak" % values are based on interval meter data from example office projects. These values can be modified if there is bill data or interval data available indicating different percentages.
</t>
        </r>
      </text>
    </comment>
    <comment ref="J92" authorId="1" shapeId="0" xr:uid="{206D669C-003A-4FA3-8C94-7D02901627C7}">
      <text>
        <r>
          <rPr>
            <sz val="9"/>
            <color indexed="81"/>
            <rFont val="Tahoma"/>
            <family val="2"/>
          </rPr>
          <t>According to the Commercial Building Energy Consumption Survery (CBECS), cooling energy usually accounts for around 14% of the total building annual electricity use for office buildings. 
According to the EIA, cooling in homes accounts for around 10% of total annual electricity use on average.
https://www.eia.gov/todayinenergy/detail.php?id=10271
The total cooling % may vary depending on other loads and operation of the building.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Celeste Cizik</author>
  </authors>
  <commentList>
    <comment ref="E7" authorId="0" shapeId="0" xr:uid="{E0A9711E-6DF7-4078-A465-6B450085A128}">
      <text>
        <r>
          <rPr>
            <sz val="9"/>
            <color indexed="81"/>
            <rFont val="Tahoma"/>
            <family val="2"/>
          </rPr>
          <t>Efficiencies are based on Trane Precedent WHC High Efficiency Heat Pump</t>
        </r>
      </text>
    </comment>
    <comment ref="F7" authorId="0" shapeId="0" xr:uid="{55F447B6-D02C-46B7-912E-9EB8BE6DBA90}">
      <text>
        <r>
          <rPr>
            <sz val="9"/>
            <color indexed="81"/>
            <rFont val="Tahoma"/>
            <family val="2"/>
          </rPr>
          <t>Efficiencies are based on the Mitsubishi M-Series equipment: SVZ-KP36NA &amp; SUZ-KA36NA2</t>
        </r>
      </text>
    </comment>
    <comment ref="E11" authorId="0" shapeId="0" xr:uid="{5E41FBB9-5AC2-4AAA-81F5-14EE35DC0E60}">
      <text>
        <r>
          <rPr>
            <sz val="9"/>
            <color indexed="81"/>
            <rFont val="Tahoma"/>
            <family val="2"/>
          </rPr>
          <t xml:space="preserve">Trane air source Precedent high efficiency heat pump RTU has the following SEERs:
- 3-5 tons have SEER  of 16-16.5
- 6-10 tons have SEER of 11.5-12.1 </t>
        </r>
      </text>
    </comment>
    <comment ref="C14" authorId="0" shapeId="0" xr:uid="{0DB4BC92-6002-4B0F-9195-45CA7EC9E645}">
      <text>
        <r>
          <rPr>
            <sz val="9"/>
            <color indexed="81"/>
            <rFont val="Tahoma"/>
            <family val="2"/>
          </rPr>
          <t>Values from: https://www.usclimatedata.com/climate/denver/colorado/united-states/usco0105</t>
        </r>
      </text>
    </comment>
    <comment ref="H53" authorId="0" shapeId="0" xr:uid="{26DAD582-5BB6-4890-9A0E-755CD63DCBBE}">
      <text>
        <r>
          <rPr>
            <b/>
            <sz val="9"/>
            <color indexed="81"/>
            <rFont val="Tahoma"/>
            <family val="2"/>
          </rPr>
          <t>Celeste Cizik:</t>
        </r>
        <r>
          <rPr>
            <sz val="9"/>
            <color indexed="81"/>
            <rFont val="Tahoma"/>
            <family val="2"/>
          </rPr>
          <t xml:space="preserve">
% determined from example residential data for a 3,000 sq.ft. house.</t>
        </r>
      </text>
    </comment>
    <comment ref="B67" authorId="0" shapeId="0" xr:uid="{16D2B4FE-2353-4EA5-916A-098F93049121}">
      <text>
        <r>
          <rPr>
            <sz val="9"/>
            <color indexed="81"/>
            <rFont val="Tahoma"/>
            <family val="2"/>
          </rPr>
          <t>Peak charges are sum of distribution demand charge and generation and transmission demand change</t>
        </r>
        <r>
          <rPr>
            <sz val="9"/>
            <color indexed="81"/>
            <rFont val="Tahoma"/>
            <family val="2"/>
          </rPr>
          <t xml:space="preserve">
</t>
        </r>
      </text>
    </comment>
  </commentList>
</comments>
</file>

<file path=xl/sharedStrings.xml><?xml version="1.0" encoding="utf-8"?>
<sst xmlns="http://schemas.openxmlformats.org/spreadsheetml/2006/main" count="623" uniqueCount="255">
  <si>
    <t>$/Peak kW</t>
  </si>
  <si>
    <t>$/kWh on Peak</t>
  </si>
  <si>
    <t>$/kWh off Peak</t>
  </si>
  <si>
    <t>Summer Months:</t>
  </si>
  <si>
    <t>Jun to Sep</t>
  </si>
  <si>
    <t>Season</t>
  </si>
  <si>
    <t>Month</t>
  </si>
  <si>
    <t>Winter</t>
  </si>
  <si>
    <t>May</t>
  </si>
  <si>
    <t>Summer</t>
  </si>
  <si>
    <t>January</t>
  </si>
  <si>
    <t>February</t>
  </si>
  <si>
    <t>March</t>
  </si>
  <si>
    <t>April</t>
  </si>
  <si>
    <t>June</t>
  </si>
  <si>
    <t>July</t>
  </si>
  <si>
    <t>August</t>
  </si>
  <si>
    <t>September</t>
  </si>
  <si>
    <t>October</t>
  </si>
  <si>
    <t>November</t>
  </si>
  <si>
    <t>December</t>
  </si>
  <si>
    <t>LF %</t>
  </si>
  <si>
    <t>Jan</t>
  </si>
  <si>
    <t>AVG WINTER LF</t>
  </si>
  <si>
    <t>Feb</t>
  </si>
  <si>
    <t>AVG SUMMER LF</t>
  </si>
  <si>
    <t>Mar</t>
  </si>
  <si>
    <t>AVG SHOULDER LF</t>
  </si>
  <si>
    <t>Apr</t>
  </si>
  <si>
    <t>Jun</t>
  </si>
  <si>
    <t>Jul</t>
  </si>
  <si>
    <t>Aug</t>
  </si>
  <si>
    <t>Sep</t>
  </si>
  <si>
    <t>Oct</t>
  </si>
  <si>
    <t>Nov</t>
  </si>
  <si>
    <t>Dec</t>
  </si>
  <si>
    <t>Average Load Factor from Example Projects</t>
  </si>
  <si>
    <t>Days/ Month</t>
  </si>
  <si>
    <t>Building 1 Monthly Data</t>
  </si>
  <si>
    <t>Building 2 Monthly Data</t>
  </si>
  <si>
    <t>B1 Peak Demand (kW/SF)</t>
  </si>
  <si>
    <t>Energy Use (kWh/SF/ month)</t>
  </si>
  <si>
    <t>Average Building Load Factor Used</t>
  </si>
  <si>
    <t>---</t>
  </si>
  <si>
    <t>Avg. Heating Peak Demand in kW</t>
  </si>
  <si>
    <t>Building 3 Monthly Data</t>
  </si>
  <si>
    <t>On Peak kWh</t>
  </si>
  <si>
    <t>Off Peak kWh</t>
  </si>
  <si>
    <t>Total kWh</t>
  </si>
  <si>
    <t>Peak kW</t>
  </si>
  <si>
    <t>This is an electric building that had 24/7 operation. Not representative of a typical office schedule but could be used for a 24/7 building.</t>
  </si>
  <si>
    <t>Equipment Efficiencies</t>
  </si>
  <si>
    <t>Xcel Energy Secondary General (no Time of Use)</t>
  </si>
  <si>
    <t>Xcel Energy Primary General (Time of Use)</t>
  </si>
  <si>
    <t>Electric Resistance/ Electric Boiler</t>
  </si>
  <si>
    <t>Typical Values for Inputs</t>
  </si>
  <si>
    <t>% On Peak</t>
  </si>
  <si>
    <t>AVG SUMMER On Peak kWh</t>
  </si>
  <si>
    <t>AVG WINTER On Peak kWh</t>
  </si>
  <si>
    <t>AVG SHOULDER On Peak kWh</t>
  </si>
  <si>
    <t>Avg. Addition to Existing Peak (kW/mo)</t>
  </si>
  <si>
    <t xml:space="preserve">Demand from heating = </t>
  </si>
  <si>
    <t>Base night load</t>
  </si>
  <si>
    <t>Heating peak</t>
  </si>
  <si>
    <t>Day time peak</t>
  </si>
  <si>
    <t>Portion of peak from heating</t>
  </si>
  <si>
    <t>Increase in peak</t>
  </si>
  <si>
    <t>% of total heat peak</t>
  </si>
  <si>
    <t>On Peak Times:</t>
  </si>
  <si>
    <t>9a-9p</t>
  </si>
  <si>
    <t>NA</t>
  </si>
  <si>
    <t>Total Annual</t>
  </si>
  <si>
    <t>Winter Peak Load Profiles</t>
  </si>
  <si>
    <t>Building without electric heat</t>
  </si>
  <si>
    <t>Building with electric heat</t>
  </si>
  <si>
    <r>
      <rPr>
        <b/>
        <sz val="10"/>
        <color theme="1"/>
        <rFont val="Arial"/>
        <family val="2"/>
      </rPr>
      <t>Load Factor</t>
    </r>
    <r>
      <rPr>
        <sz val="10"/>
        <color theme="1"/>
        <rFont val="Arial"/>
        <family val="2"/>
      </rPr>
      <t xml:space="preserve"> = energy consumed/(peak power*days/month*24)  </t>
    </r>
  </si>
  <si>
    <t>Intensity (per sq.ft./yr)</t>
  </si>
  <si>
    <t>Building Electrification Calculator</t>
  </si>
  <si>
    <t>$/ therm</t>
  </si>
  <si>
    <t>Cost/kBtu</t>
  </si>
  <si>
    <t>Single Zone RTU Packaged Unit with Heat Pump</t>
  </si>
  <si>
    <t>Residential</t>
  </si>
  <si>
    <t>Avg Low Temp</t>
  </si>
  <si>
    <t>COP @ 17 deg F OAT:</t>
  </si>
  <si>
    <t>COP @ 47 deg F OAT:</t>
  </si>
  <si>
    <t>Residential Utility Rates</t>
  </si>
  <si>
    <t>Commercial</t>
  </si>
  <si>
    <t>Commercial Utility Rates</t>
  </si>
  <si>
    <t>Custom</t>
  </si>
  <si>
    <t xml:space="preserve">Custom </t>
  </si>
  <si>
    <t>Total Electricity Use (kWh)</t>
  </si>
  <si>
    <t>Total Electricity Demand (kW)</t>
  </si>
  <si>
    <t>Cooling Energy Savings (kWh)</t>
  </si>
  <si>
    <t>Cooling Demand  Savings (kW)</t>
  </si>
  <si>
    <t>Test Rate Reductions</t>
  </si>
  <si>
    <t>% of Heating Peak that Adds to Existing Peak</t>
  </si>
  <si>
    <t>Reduction in Cooling Energy:</t>
  </si>
  <si>
    <t>Heating Efficiencies Lookup</t>
  </si>
  <si>
    <t>Equipment Type Selection Options</t>
  </si>
  <si>
    <t>Aggregate $/ kWh</t>
  </si>
  <si>
    <t>kBtu/sq.ft./yr</t>
  </si>
  <si>
    <t>Utility Rates</t>
  </si>
  <si>
    <t>$/kWh Shoulder</t>
  </si>
  <si>
    <t>$/kWh Day Time Average</t>
  </si>
  <si>
    <t>Enter values for custom rate</t>
  </si>
  <si>
    <t>First 500 kWh</t>
  </si>
  <si>
    <t>Above 500 kWh</t>
  </si>
  <si>
    <t>% &gt; 500 kWh</t>
  </si>
  <si>
    <t>--</t>
  </si>
  <si>
    <t>Xcel Energy Residential Rates - 4/21/2020</t>
  </si>
  <si>
    <t>Xcel Energy General Residential Plan</t>
  </si>
  <si>
    <t>Xcel Energy Time of Use Pricing Residential</t>
  </si>
  <si>
    <t>Xcel Energy Peak Demand Pricing Residential</t>
  </si>
  <si>
    <t>Total Electric kBtu</t>
  </si>
  <si>
    <t>Cooling % of Electric Total</t>
  </si>
  <si>
    <t>Baseline Cooling Energy Use (kWh)</t>
  </si>
  <si>
    <t>Baseline Cooling Electric Peak (kW)</t>
  </si>
  <si>
    <t>Total Natural Gas kBtu</t>
  </si>
  <si>
    <t>Baseline Natural Gas Use (Therms)</t>
  </si>
  <si>
    <t>Baseline Natural Gas Cost ($)</t>
  </si>
  <si>
    <t>Total Heating Use in kWh</t>
  </si>
  <si>
    <t>% of Heating kWh On Peak</t>
  </si>
  <si>
    <t>Heating Load Factor</t>
  </si>
  <si>
    <t>% Change in Heating Cost</t>
  </si>
  <si>
    <t>% Change in Total Electric Cost</t>
  </si>
  <si>
    <t>Total Baseline Site EUI:</t>
  </si>
  <si>
    <t>Total New Site EUI:</t>
  </si>
  <si>
    <t>New  Electric kBtu</t>
  </si>
  <si>
    <t>Total Heating Use in kBtu</t>
  </si>
  <si>
    <t>Cooling SEER:</t>
  </si>
  <si>
    <t>Replacement Cooling Efficiency (SEER):</t>
  </si>
  <si>
    <t>N/A</t>
  </si>
  <si>
    <t>Project Costs</t>
  </si>
  <si>
    <t>Whole Building Heating - Natural Gas to Electric Heat Conversion</t>
  </si>
  <si>
    <t>Project Name</t>
  </si>
  <si>
    <t>Location</t>
  </si>
  <si>
    <t>Building Area</t>
  </si>
  <si>
    <t>Building Type</t>
  </si>
  <si>
    <t>Rate Type</t>
  </si>
  <si>
    <t>Utility Rate Structure</t>
  </si>
  <si>
    <t>Existing System Type</t>
  </si>
  <si>
    <t>Replacement System Type</t>
  </si>
  <si>
    <t>Number of units being replaced</t>
  </si>
  <si>
    <t>Overall simple payback</t>
  </si>
  <si>
    <t>Residential Low Ambient Heat Pump</t>
  </si>
  <si>
    <r>
      <t xml:space="preserve">Project type </t>
    </r>
    <r>
      <rPr>
        <sz val="8"/>
        <color theme="1"/>
        <rFont val="Arial"/>
        <family val="2"/>
      </rPr>
      <t>(NC = New Construction, EOL = End of Life, Retrofit)</t>
    </r>
  </si>
  <si>
    <t>Include cooling savings?</t>
  </si>
  <si>
    <t>New System Efficiency</t>
  </si>
  <si>
    <t>Existing System Heating Efficiency</t>
  </si>
  <si>
    <r>
      <t xml:space="preserve">Average cooling unit capacity </t>
    </r>
    <r>
      <rPr>
        <sz val="8"/>
        <color theme="1"/>
        <rFont val="Arial"/>
        <family val="2"/>
      </rPr>
      <t>(tons)</t>
    </r>
  </si>
  <si>
    <r>
      <t xml:space="preserve">Existing Cooling Efficiency </t>
    </r>
    <r>
      <rPr>
        <sz val="8"/>
        <color rgb="FF000000"/>
        <rFont val="Arial"/>
        <family val="2"/>
      </rPr>
      <t>(SEER)</t>
    </r>
  </si>
  <si>
    <t>Energy Project Economic Analysis</t>
  </si>
  <si>
    <t>Escalation Factors/Discount Rate</t>
  </si>
  <si>
    <t>=input</t>
  </si>
  <si>
    <t>Electric Energy Cost</t>
  </si>
  <si>
    <t>Gas Energy Cost</t>
  </si>
  <si>
    <t>Base Year:</t>
  </si>
  <si>
    <t>All Other Costs</t>
  </si>
  <si>
    <t>Discount Rate</t>
  </si>
  <si>
    <t>Project Years</t>
  </si>
  <si>
    <t>TOTAL</t>
  </si>
  <si>
    <t>Investment Costs</t>
  </si>
  <si>
    <t>Design/Support</t>
  </si>
  <si>
    <t>Recurring Expenses</t>
  </si>
  <si>
    <t>Investment Sub Total</t>
  </si>
  <si>
    <t>Present Value of Inv</t>
  </si>
  <si>
    <t>Operating Variance: (Costs)/Savings</t>
  </si>
  <si>
    <t>Operating Exp Sub Total</t>
  </si>
  <si>
    <t>Residual Value</t>
  </si>
  <si>
    <t>Residual Total Value</t>
  </si>
  <si>
    <t>Residual Present Value</t>
  </si>
  <si>
    <t>= Input Cell</t>
  </si>
  <si>
    <t xml:space="preserve">Date: </t>
  </si>
  <si>
    <t>Economic Summary</t>
  </si>
  <si>
    <t>Operating Cost Summary</t>
  </si>
  <si>
    <t>General Project Inputs</t>
  </si>
  <si>
    <t>Heat Pump</t>
  </si>
  <si>
    <t>Natural Gas</t>
  </si>
  <si>
    <t>*Both options assume high efficiency equipment</t>
  </si>
  <si>
    <r>
      <t xml:space="preserve">Central heating/cooling system </t>
    </r>
    <r>
      <rPr>
        <sz val="8"/>
        <color theme="1"/>
        <rFont val="Arial"/>
        <family val="2"/>
      </rPr>
      <t>(including install)</t>
    </r>
  </si>
  <si>
    <t>Tank type domestic hot water heater</t>
  </si>
  <si>
    <t>Average cost per ton</t>
  </si>
  <si>
    <t>First Cost Information</t>
  </si>
  <si>
    <t xml:space="preserve">Low </t>
  </si>
  <si>
    <t>High</t>
  </si>
  <si>
    <t>Totals</t>
  </si>
  <si>
    <t>Residential - New Construction</t>
  </si>
  <si>
    <r>
      <t xml:space="preserve">Natural gas connection and piping </t>
    </r>
    <r>
      <rPr>
        <sz val="8"/>
        <color theme="1"/>
        <rFont val="Arial"/>
        <family val="2"/>
      </rPr>
      <t>(NC only)</t>
    </r>
  </si>
  <si>
    <t>Cost Delta</t>
  </si>
  <si>
    <t>Total Tons</t>
  </si>
  <si>
    <t># of Units</t>
  </si>
  <si>
    <t>Tons per Unit</t>
  </si>
  <si>
    <t>Commercial - New Construction</t>
  </si>
  <si>
    <t>Electrical modification</t>
  </si>
  <si>
    <t>Residential - End of Life</t>
  </si>
  <si>
    <t>Commercial - End of Life</t>
  </si>
  <si>
    <t>See calculator tab for notes on cost ranges</t>
  </si>
  <si>
    <t>Total Cost of Electric Heating kWh</t>
  </si>
  <si>
    <t>Total Cost of Electric Heating kW</t>
  </si>
  <si>
    <t>No</t>
  </si>
  <si>
    <t>Natural Gas Cost ($/yr)</t>
  </si>
  <si>
    <t>Price used</t>
  </si>
  <si>
    <t>Net Present Cost</t>
  </si>
  <si>
    <t>First Cost</t>
  </si>
  <si>
    <t>Maintenance Cost</t>
  </si>
  <si>
    <t>Total implementation cost</t>
  </si>
  <si>
    <t>Total implementation cost with rebate</t>
  </si>
  <si>
    <t>Before Rebate</t>
  </si>
  <si>
    <t>After Rebate</t>
  </si>
  <si>
    <t>% Delta</t>
  </si>
  <si>
    <t xml:space="preserve">$ Delta </t>
  </si>
  <si>
    <t>Delta in Cost for Heat Pump vs. Natural Gas</t>
  </si>
  <si>
    <t>Present Value of Op Costs</t>
  </si>
  <si>
    <t>EXAMPLE Office Building</t>
  </si>
  <si>
    <t>Lakewood, CO</t>
  </si>
  <si>
    <t>Office</t>
  </si>
  <si>
    <t>Packaged Roof Top Units</t>
  </si>
  <si>
    <t>New Total Electricity Use (KWh)</t>
  </si>
  <si>
    <t>New Total Electricity Demand (kW)</t>
  </si>
  <si>
    <t>% of kWh Assumed to be Peak</t>
  </si>
  <si>
    <t>New Electric Energy Cost ($)</t>
  </si>
  <si>
    <t>New Electric Demand Cost ($)</t>
  </si>
  <si>
    <t>Total Cost of Electric Heating ($)</t>
  </si>
  <si>
    <t>Change in Heating Cost ($)</t>
  </si>
  <si>
    <t>New Aggregate Electric Cost ($/Yr)</t>
  </si>
  <si>
    <t>Baseline Utility Rates</t>
  </si>
  <si>
    <t>Proposed Utility Rates with Reduction</t>
  </si>
  <si>
    <t>Heat Pump (with Rebate and Reduced Rates)</t>
  </si>
  <si>
    <t>Heat Pump (with Rebate and Current Rates)</t>
  </si>
  <si>
    <t>Current Rates</t>
  </si>
  <si>
    <t>New Rates</t>
  </si>
  <si>
    <t>HP - Current Elec Rate</t>
  </si>
  <si>
    <t>HP - New Elec Rate</t>
  </si>
  <si>
    <t>Change w/ Current Elec Rate</t>
  </si>
  <si>
    <t>% Change w/ Current Elec Rate</t>
  </si>
  <si>
    <t>Change w/ New Elec Rate</t>
  </si>
  <si>
    <t>% Change w/ New Elec Rate</t>
  </si>
  <si>
    <t>Proposed Rate</t>
  </si>
  <si>
    <t>Baseline Electricity Cost</t>
  </si>
  <si>
    <t>Elec Heat Cost ($/yr)</t>
  </si>
  <si>
    <t>Elec Non-Heat Cost ($/yr)</t>
  </si>
  <si>
    <t>Total Elec Cost ($/yr)</t>
  </si>
  <si>
    <t>Total Utility Cost ($/yr)</t>
  </si>
  <si>
    <t>Years</t>
  </si>
  <si>
    <t>Rebate amount</t>
  </si>
  <si>
    <t>Net Present Cost (15 yrs)</t>
  </si>
  <si>
    <t>Gas Heat - Baseline</t>
  </si>
  <si>
    <t>Electricity Costs &amp; Cooling Efficiency Savings Calculations</t>
  </si>
  <si>
    <t>New Electric Cost ($/Yr)</t>
  </si>
  <si>
    <t>Change in Electric Cost ($/Yr)</t>
  </si>
  <si>
    <t>New  Electric Cost ($/Yr)</t>
  </si>
  <si>
    <t>Change in  Electric Cost ($/Yr)</t>
  </si>
  <si>
    <t>This section calculates the non-heating electric costs with different utility rates with the option to incorporate cooling savings.</t>
  </si>
  <si>
    <t>NC</t>
  </si>
  <si>
    <t>Baseline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</si>
</sst>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0000_);_(&quot;$&quot;* \(#,##0.0000\);_(&quot;$&quot;* &quot;-&quot;??_);_(@_)"/>
    <numFmt numFmtId="165" formatCode="#,##0\ &quot;SF&quot;"/>
    <numFmt numFmtId="166" formatCode="_(* #,##0_);_(* \(#,##0\);_(* &quot;-&quot;??_);_(@_)"/>
    <numFmt numFmtId="167" formatCode="_(&quot;$&quot;* #,##0_);_(&quot;$&quot;* \(#,##0\);_(&quot;$&quot;* &quot;-&quot;??_);_(@_)"/>
    <numFmt numFmtId="168" formatCode="0.00000"/>
    <numFmt numFmtId="169" formatCode="_(* #,##0.0000_);_(* \(#,##0.0000\);_(* &quot;-&quot;??_);_(@_)"/>
    <numFmt numFmtId="170" formatCode="_(* #,##0.0_);_(* \(#,##0.0\);_(* &quot;-&quot;??_);_(@_)"/>
    <numFmt numFmtId="171" formatCode="_(&quot;$&quot;* #,##0.000_);_(&quot;$&quot;* \(#,##0.000\);_(&quot;$&quot;* &quot;-&quot;??_);_(@_)"/>
    <numFmt numFmtId="172" formatCode="0.0"/>
    <numFmt numFmtId="173" formatCode="0.0%"/>
  </numFmts>
  <fonts count="38" x14ac:knownFonts="1">
    <font>
      <sz val="11"/>
      <color theme="1"/>
      <name val="Calibri"/>
      <family val="2"/>
      <scheme val="minor"/>
    </font>
    <font>
      <sz val="11"/>
      <color theme="1"/>
      <name val="Calibri"/>
      <family val="2"/>
      <scheme val="minor"/>
    </font>
    <font>
      <sz val="11"/>
      <color theme="0"/>
      <name val="Calibri"/>
      <family val="2"/>
      <scheme val="minor"/>
    </font>
    <font>
      <sz val="10"/>
      <color indexed="8"/>
      <name val="Arial"/>
      <family val="2"/>
    </font>
    <font>
      <b/>
      <sz val="10"/>
      <color indexed="8"/>
      <name val="Arial"/>
      <family val="2"/>
    </font>
    <font>
      <sz val="11"/>
      <color theme="1"/>
      <name val="Arial"/>
      <family val="2"/>
    </font>
    <font>
      <sz val="10"/>
      <color theme="1"/>
      <name val="Arial"/>
      <family val="2"/>
    </font>
    <font>
      <b/>
      <sz val="10"/>
      <color theme="0"/>
      <name val="Arial"/>
      <family val="2"/>
    </font>
    <font>
      <b/>
      <sz val="10"/>
      <color theme="1"/>
      <name val="Arial"/>
      <family val="2"/>
    </font>
    <font>
      <sz val="8"/>
      <name val="Calibri"/>
      <family val="2"/>
      <scheme val="minor"/>
    </font>
    <font>
      <sz val="10"/>
      <color rgb="FFFF0000"/>
      <name val="Arial"/>
      <family val="2"/>
    </font>
    <font>
      <sz val="10"/>
      <color rgb="FF0070C0"/>
      <name val="Arial"/>
      <family val="2"/>
    </font>
    <font>
      <b/>
      <sz val="11"/>
      <color rgb="FF0070C0"/>
      <name val="Arial"/>
      <family val="2"/>
    </font>
    <font>
      <sz val="10"/>
      <name val="Arial"/>
      <family val="2"/>
    </font>
    <font>
      <b/>
      <u/>
      <sz val="10"/>
      <color theme="1"/>
      <name val="Arial"/>
      <family val="2"/>
    </font>
    <font>
      <sz val="9"/>
      <color indexed="81"/>
      <name val="Tahoma"/>
      <family val="2"/>
    </font>
    <font>
      <b/>
      <sz val="9"/>
      <color indexed="81"/>
      <name val="Tahoma"/>
      <family val="2"/>
    </font>
    <font>
      <b/>
      <sz val="10"/>
      <name val="Arial"/>
      <family val="2"/>
    </font>
    <font>
      <u/>
      <sz val="10"/>
      <color theme="1"/>
      <name val="Arial"/>
      <family val="2"/>
    </font>
    <font>
      <i/>
      <sz val="10"/>
      <color theme="1"/>
      <name val="Arial"/>
      <family val="2"/>
    </font>
    <font>
      <sz val="11"/>
      <color rgb="FF9C0006"/>
      <name val="Calibri"/>
      <family val="2"/>
      <scheme val="minor"/>
    </font>
    <font>
      <b/>
      <sz val="10"/>
      <color rgb="FF9C0006"/>
      <name val="Arial"/>
      <family val="2"/>
    </font>
    <font>
      <b/>
      <u/>
      <sz val="10"/>
      <color indexed="8"/>
      <name val="Arial"/>
      <family val="2"/>
    </font>
    <font>
      <sz val="10"/>
      <color theme="0"/>
      <name val="Arial"/>
      <family val="2"/>
    </font>
    <font>
      <b/>
      <u/>
      <sz val="12"/>
      <color indexed="8"/>
      <name val="Arial"/>
      <family val="2"/>
    </font>
    <font>
      <sz val="12"/>
      <color theme="1"/>
      <name val="Arial"/>
      <family val="2"/>
    </font>
    <font>
      <sz val="12"/>
      <color indexed="8"/>
      <name val="Arial"/>
      <family val="2"/>
    </font>
    <font>
      <sz val="12"/>
      <color rgb="FFFF0000"/>
      <name val="Arial"/>
      <family val="2"/>
    </font>
    <font>
      <b/>
      <u/>
      <sz val="11"/>
      <color indexed="8"/>
      <name val="Arial"/>
      <family val="2"/>
    </font>
    <font>
      <i/>
      <sz val="10"/>
      <color rgb="FFFF0000"/>
      <name val="Arial"/>
      <family val="2"/>
    </font>
    <font>
      <i/>
      <sz val="10"/>
      <color indexed="8"/>
      <name val="Arial"/>
      <family val="2"/>
    </font>
    <font>
      <u/>
      <sz val="10"/>
      <color indexed="8"/>
      <name val="Arial"/>
      <family val="2"/>
    </font>
    <font>
      <b/>
      <sz val="11"/>
      <color theme="1"/>
      <name val="Arial"/>
      <family val="2"/>
    </font>
    <font>
      <sz val="8"/>
      <color theme="1"/>
      <name val="Arial"/>
      <family val="2"/>
    </font>
    <font>
      <sz val="8"/>
      <color rgb="FF000000"/>
      <name val="Arial"/>
      <family val="2"/>
    </font>
    <font>
      <b/>
      <u/>
      <sz val="10"/>
      <name val="Arial"/>
      <family val="2"/>
    </font>
    <font>
      <i/>
      <sz val="10"/>
      <name val="Arial"/>
      <family val="2"/>
    </font>
    <font>
      <b/>
      <u/>
      <sz val="9"/>
      <color indexed="81"/>
      <name val="Tahoma"/>
      <family val="2"/>
    </font>
  </fonts>
  <fills count="17">
    <fill>
      <patternFill patternType="none"/>
    </fill>
    <fill>
      <patternFill patternType="gray125"/>
    </fill>
    <fill>
      <patternFill patternType="solid">
        <fgColor theme="4"/>
      </patternFill>
    </fill>
    <fill>
      <patternFill patternType="solid">
        <fgColor rgb="FF4298B5"/>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rgb="FFFFC7CE"/>
      </patternFill>
    </fill>
    <fill>
      <patternFill patternType="solid">
        <fgColor theme="7"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s>
  <borders count="52">
    <border>
      <left/>
      <right/>
      <top/>
      <bottom/>
      <diagonal/>
    </border>
    <border>
      <left style="thin">
        <color auto="1"/>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20" fillId="10" borderId="0" applyNumberFormat="0" applyBorder="0" applyAlignment="0" applyProtection="0"/>
    <xf numFmtId="0" fontId="1" fillId="0" borderId="0"/>
  </cellStyleXfs>
  <cellXfs count="317">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vertical="center"/>
    </xf>
    <xf numFmtId="0" fontId="6" fillId="0" borderId="0" xfId="0" applyFont="1"/>
    <xf numFmtId="0" fontId="6" fillId="0" borderId="0" xfId="0" applyFont="1" applyAlignment="1">
      <alignment wrapText="1"/>
    </xf>
    <xf numFmtId="0" fontId="8" fillId="0" borderId="3" xfId="0" applyFont="1" applyBorder="1"/>
    <xf numFmtId="0" fontId="10" fillId="0" borderId="0" xfId="0" applyFont="1"/>
    <xf numFmtId="0" fontId="8" fillId="0" borderId="4" xfId="0" applyFont="1" applyBorder="1"/>
    <xf numFmtId="0" fontId="7" fillId="3" borderId="3" xfId="4" applyFont="1" applyFill="1" applyBorder="1" applyAlignment="1">
      <alignment horizontal="center" vertical="center" wrapText="1"/>
    </xf>
    <xf numFmtId="9" fontId="11" fillId="4" borderId="3" xfId="3" applyFont="1" applyFill="1" applyBorder="1" applyAlignment="1">
      <alignment horizontal="center"/>
    </xf>
    <xf numFmtId="166" fontId="11" fillId="4" borderId="3" xfId="1" applyNumberFormat="1" applyFont="1" applyFill="1" applyBorder="1" applyAlignment="1">
      <alignment horizontal="center" vertical="center" wrapText="1"/>
    </xf>
    <xf numFmtId="0" fontId="11" fillId="0" borderId="0" xfId="0" applyFont="1"/>
    <xf numFmtId="9" fontId="3" fillId="0" borderId="0" xfId="0" applyNumberFormat="1" applyFont="1"/>
    <xf numFmtId="9" fontId="6" fillId="0" borderId="0" xfId="0" applyNumberFormat="1" applyFont="1"/>
    <xf numFmtId="0" fontId="14" fillId="0" borderId="0" xfId="0" applyFont="1"/>
    <xf numFmtId="0" fontId="3" fillId="0" borderId="3" xfId="0" applyFont="1" applyBorder="1"/>
    <xf numFmtId="9" fontId="3" fillId="0" borderId="3" xfId="0" applyNumberFormat="1" applyFont="1" applyBorder="1"/>
    <xf numFmtId="0" fontId="6" fillId="0" borderId="3" xfId="0" applyFont="1" applyBorder="1"/>
    <xf numFmtId="0" fontId="11" fillId="0" borderId="3" xfId="0" applyFont="1" applyBorder="1"/>
    <xf numFmtId="168" fontId="11" fillId="0" borderId="3" xfId="0" applyNumberFormat="1" applyFont="1" applyBorder="1"/>
    <xf numFmtId="0" fontId="6" fillId="0" borderId="3" xfId="0" applyFont="1" applyFill="1" applyBorder="1"/>
    <xf numFmtId="0" fontId="3" fillId="0" borderId="3" xfId="0" applyFont="1" applyFill="1" applyBorder="1"/>
    <xf numFmtId="9" fontId="6" fillId="0" borderId="3" xfId="0" applyNumberFormat="1" applyFont="1" applyFill="1" applyBorder="1"/>
    <xf numFmtId="0" fontId="6" fillId="0" borderId="0" xfId="0" applyFont="1" applyAlignment="1"/>
    <xf numFmtId="0" fontId="7" fillId="5" borderId="3" xfId="4" applyFont="1" applyFill="1" applyBorder="1" applyAlignment="1">
      <alignment horizontal="center" vertical="center" wrapText="1"/>
    </xf>
    <xf numFmtId="166" fontId="17" fillId="0" borderId="4" xfId="1" applyNumberFormat="1" applyFont="1" applyFill="1" applyBorder="1" applyAlignment="1">
      <alignment horizontal="center" vertical="center" wrapText="1"/>
    </xf>
    <xf numFmtId="166" fontId="11" fillId="0" borderId="3" xfId="1" applyNumberFormat="1" applyFont="1" applyBorder="1"/>
    <xf numFmtId="166" fontId="6" fillId="0" borderId="3" xfId="0" applyNumberFormat="1" applyFont="1" applyBorder="1"/>
    <xf numFmtId="0" fontId="18" fillId="0" borderId="0" xfId="0" applyFont="1"/>
    <xf numFmtId="0" fontId="19" fillId="0" borderId="0" xfId="0" applyFont="1"/>
    <xf numFmtId="0" fontId="11" fillId="4" borderId="4" xfId="0" applyFont="1" applyFill="1" applyBorder="1" applyAlignment="1"/>
    <xf numFmtId="0" fontId="11" fillId="4" borderId="3" xfId="0" applyFont="1" applyFill="1" applyBorder="1" applyAlignment="1"/>
    <xf numFmtId="0" fontId="3" fillId="0" borderId="0" xfId="0" applyFont="1" applyBorder="1" applyAlignment="1">
      <alignment vertical="center"/>
    </xf>
    <xf numFmtId="165" fontId="11" fillId="4" borderId="3" xfId="1" applyNumberFormat="1" applyFont="1" applyFill="1" applyBorder="1" applyAlignment="1">
      <alignment horizontal="left" vertical="center" wrapText="1"/>
    </xf>
    <xf numFmtId="0" fontId="11" fillId="4" borderId="3" xfId="0" applyFont="1" applyFill="1" applyBorder="1" applyAlignment="1">
      <alignment horizontal="left" vertical="center" wrapText="1"/>
    </xf>
    <xf numFmtId="166" fontId="11" fillId="0" borderId="5" xfId="1" applyNumberFormat="1" applyFont="1" applyFill="1" applyBorder="1" applyAlignment="1">
      <alignment horizontal="center" vertical="center" wrapText="1"/>
    </xf>
    <xf numFmtId="167" fontId="11" fillId="0" borderId="5" xfId="2" applyNumberFormat="1" applyFont="1" applyFill="1" applyBorder="1" applyAlignment="1">
      <alignment horizontal="center" vertical="center" wrapText="1"/>
    </xf>
    <xf numFmtId="9" fontId="8" fillId="0" borderId="0" xfId="3" applyFont="1"/>
    <xf numFmtId="16" fontId="6" fillId="0" borderId="0" xfId="0" applyNumberFormat="1" applyFont="1" applyAlignment="1">
      <alignment horizontal="center"/>
    </xf>
    <xf numFmtId="16" fontId="6" fillId="0" borderId="0" xfId="0" applyNumberFormat="1" applyFont="1"/>
    <xf numFmtId="44" fontId="11" fillId="4" borderId="3" xfId="2" applyFont="1" applyFill="1" applyBorder="1" applyAlignment="1">
      <alignment vertical="center" wrapText="1"/>
    </xf>
    <xf numFmtId="164" fontId="11" fillId="4" borderId="3" xfId="2" applyNumberFormat="1" applyFont="1" applyFill="1" applyBorder="1" applyAlignment="1">
      <alignment vertical="center" wrapText="1"/>
    </xf>
    <xf numFmtId="0" fontId="7" fillId="6" borderId="3" xfId="4" applyFont="1" applyFill="1" applyBorder="1" applyAlignment="1">
      <alignment horizontal="center" vertical="center" wrapText="1"/>
    </xf>
    <xf numFmtId="0" fontId="7" fillId="7" borderId="3" xfId="4" applyFont="1" applyFill="1" applyBorder="1" applyAlignment="1">
      <alignment horizontal="center" vertical="center" wrapText="1"/>
    </xf>
    <xf numFmtId="0" fontId="7" fillId="8" borderId="3" xfId="4" applyFont="1" applyFill="1" applyBorder="1" applyAlignment="1">
      <alignment horizontal="center" vertical="center" wrapText="1"/>
    </xf>
    <xf numFmtId="44" fontId="11" fillId="4" borderId="3" xfId="2" applyFont="1" applyFill="1" applyBorder="1" applyAlignment="1">
      <alignment horizontal="center" vertical="center" wrapText="1"/>
    </xf>
    <xf numFmtId="44" fontId="11" fillId="4" borderId="3" xfId="2" applyNumberFormat="1" applyFont="1" applyFill="1" applyBorder="1" applyAlignment="1">
      <alignment vertical="center" wrapText="1"/>
    </xf>
    <xf numFmtId="9" fontId="11" fillId="4" borderId="3" xfId="3" applyFont="1" applyFill="1" applyBorder="1" applyAlignment="1">
      <alignment vertical="center" wrapText="1"/>
    </xf>
    <xf numFmtId="0" fontId="11" fillId="4" borderId="3" xfId="0" applyFont="1" applyFill="1" applyBorder="1" applyAlignment="1">
      <alignment horizontal="center" vertical="center"/>
    </xf>
    <xf numFmtId="9" fontId="17" fillId="0" borderId="4" xfId="3" applyFont="1" applyFill="1" applyBorder="1" applyAlignment="1">
      <alignment horizontal="center" vertical="center" wrapText="1"/>
    </xf>
    <xf numFmtId="0" fontId="4" fillId="0" borderId="10" xfId="0" applyFont="1" applyBorder="1" applyAlignment="1">
      <alignment horizontal="left" vertical="center"/>
    </xf>
    <xf numFmtId="0" fontId="8" fillId="0" borderId="4" xfId="0" applyFont="1" applyBorder="1" applyAlignment="1">
      <alignment vertical="center"/>
    </xf>
    <xf numFmtId="0" fontId="11" fillId="9" borderId="4" xfId="0" applyFont="1" applyFill="1" applyBorder="1" applyAlignment="1">
      <alignment vertical="center"/>
    </xf>
    <xf numFmtId="9" fontId="11" fillId="4" borderId="4" xfId="3" applyFont="1" applyFill="1" applyBorder="1" applyAlignment="1">
      <alignment horizontal="center" vertical="center"/>
    </xf>
    <xf numFmtId="166" fontId="13" fillId="0" borderId="6" xfId="0" applyNumberFormat="1" applyFont="1" applyBorder="1" applyAlignment="1">
      <alignment horizontal="center" vertical="center" wrapText="1"/>
    </xf>
    <xf numFmtId="166" fontId="13" fillId="0" borderId="3" xfId="3" applyNumberFormat="1" applyFont="1" applyFill="1" applyBorder="1" applyAlignment="1">
      <alignment horizontal="center" vertical="center"/>
    </xf>
    <xf numFmtId="166" fontId="13" fillId="0" borderId="4" xfId="3" applyNumberFormat="1" applyFont="1" applyFill="1" applyBorder="1" applyAlignment="1">
      <alignment horizontal="center" vertical="center"/>
    </xf>
    <xf numFmtId="167" fontId="6" fillId="0" borderId="4" xfId="0" applyNumberFormat="1" applyFont="1" applyBorder="1" applyAlignment="1">
      <alignment horizontal="left" vertical="center" wrapText="1"/>
    </xf>
    <xf numFmtId="9" fontId="6" fillId="0" borderId="4" xfId="3" applyFont="1" applyBorder="1" applyAlignment="1">
      <alignment horizontal="center" vertical="center" wrapText="1"/>
    </xf>
    <xf numFmtId="0" fontId="6" fillId="0" borderId="0" xfId="0" applyFont="1" applyAlignment="1">
      <alignment vertical="center" wrapText="1"/>
    </xf>
    <xf numFmtId="0" fontId="8" fillId="0" borderId="3" xfId="0" applyFont="1" applyBorder="1" applyAlignment="1">
      <alignment vertical="center"/>
    </xf>
    <xf numFmtId="0" fontId="11" fillId="9" borderId="3" xfId="0" applyFont="1" applyFill="1" applyBorder="1" applyAlignment="1">
      <alignment vertical="center"/>
    </xf>
    <xf numFmtId="0" fontId="6" fillId="0" borderId="0" xfId="0" applyFont="1" applyAlignment="1">
      <alignment vertical="center"/>
    </xf>
    <xf numFmtId="0" fontId="8" fillId="0" borderId="5" xfId="0" applyFont="1" applyBorder="1" applyAlignment="1">
      <alignment vertical="center"/>
    </xf>
    <xf numFmtId="166" fontId="6" fillId="0" borderId="5" xfId="0" applyNumberFormat="1" applyFont="1" applyFill="1" applyBorder="1" applyAlignment="1">
      <alignment horizontal="center" vertical="center" wrapText="1"/>
    </xf>
    <xf numFmtId="44" fontId="6" fillId="0" borderId="5" xfId="2" applyFont="1" applyFill="1" applyBorder="1" applyAlignment="1">
      <alignment vertical="center" wrapText="1"/>
    </xf>
    <xf numFmtId="166" fontId="11" fillId="0" borderId="5" xfId="3" applyNumberFormat="1" applyFont="1" applyFill="1" applyBorder="1" applyAlignment="1">
      <alignment horizontal="center" vertical="center"/>
    </xf>
    <xf numFmtId="167" fontId="6" fillId="0" borderId="5" xfId="2" applyNumberFormat="1" applyFont="1" applyFill="1" applyBorder="1" applyAlignment="1">
      <alignment vertical="center" wrapText="1"/>
    </xf>
    <xf numFmtId="167" fontId="6" fillId="0" borderId="5" xfId="0" applyNumberFormat="1" applyFont="1" applyFill="1" applyBorder="1" applyAlignment="1">
      <alignment horizontal="center" vertical="center" wrapText="1"/>
    </xf>
    <xf numFmtId="0" fontId="17" fillId="0" borderId="4" xfId="0" applyFont="1" applyBorder="1" applyAlignment="1">
      <alignment vertical="center"/>
    </xf>
    <xf numFmtId="9" fontId="17" fillId="0" borderId="4" xfId="3" quotePrefix="1" applyFont="1" applyFill="1" applyBorder="1" applyAlignment="1">
      <alignment horizontal="center" vertical="center"/>
    </xf>
    <xf numFmtId="167" fontId="17" fillId="0" borderId="4" xfId="2" applyNumberFormat="1" applyFont="1" applyFill="1" applyBorder="1" applyAlignment="1">
      <alignment vertical="center" wrapText="1"/>
    </xf>
    <xf numFmtId="0" fontId="19" fillId="0" borderId="3" xfId="0" applyFont="1" applyBorder="1" applyAlignment="1">
      <alignment vertical="center"/>
    </xf>
    <xf numFmtId="43" fontId="19" fillId="0" borderId="3" xfId="0" applyNumberFormat="1" applyFont="1" applyBorder="1" applyAlignment="1">
      <alignment vertical="center"/>
    </xf>
    <xf numFmtId="44" fontId="19" fillId="0" borderId="3" xfId="2" applyFont="1" applyBorder="1" applyAlignment="1">
      <alignment vertical="center"/>
    </xf>
    <xf numFmtId="0" fontId="5" fillId="0" borderId="0" xfId="0" applyFont="1" applyAlignment="1">
      <alignment vertical="center"/>
    </xf>
    <xf numFmtId="44" fontId="6" fillId="0" borderId="4" xfId="2" applyNumberFormat="1" applyFont="1" applyBorder="1" applyAlignment="1">
      <alignment vertical="center" wrapText="1"/>
    </xf>
    <xf numFmtId="166" fontId="6" fillId="0" borderId="4" xfId="1" applyNumberFormat="1" applyFont="1" applyBorder="1" applyAlignment="1">
      <alignment vertical="center" wrapText="1"/>
    </xf>
    <xf numFmtId="9" fontId="11" fillId="4" borderId="3" xfId="3" applyFont="1" applyFill="1" applyBorder="1" applyAlignment="1">
      <alignment horizontal="center" vertical="center"/>
    </xf>
    <xf numFmtId="166" fontId="6" fillId="0" borderId="6" xfId="0" applyNumberFormat="1" applyFont="1" applyBorder="1" applyAlignment="1">
      <alignment horizontal="center" vertical="center" wrapText="1"/>
    </xf>
    <xf numFmtId="9" fontId="13" fillId="0" borderId="4" xfId="3" applyFont="1" applyBorder="1" applyAlignment="1">
      <alignment horizontal="center" vertical="center"/>
    </xf>
    <xf numFmtId="166" fontId="6" fillId="0" borderId="4" xfId="0" applyNumberFormat="1" applyFont="1" applyBorder="1" applyAlignment="1">
      <alignment horizontal="center" vertical="center" wrapText="1"/>
    </xf>
    <xf numFmtId="167" fontId="6" fillId="0" borderId="4" xfId="2" applyNumberFormat="1" applyFont="1" applyBorder="1" applyAlignment="1">
      <alignment vertical="center" wrapText="1"/>
    </xf>
    <xf numFmtId="167" fontId="6" fillId="0" borderId="4" xfId="0" applyNumberFormat="1" applyFont="1" applyBorder="1" applyAlignment="1">
      <alignment horizontal="center" vertical="center" wrapText="1"/>
    </xf>
    <xf numFmtId="166" fontId="6" fillId="0" borderId="3" xfId="0" applyNumberFormat="1" applyFont="1" applyBorder="1" applyAlignment="1">
      <alignment horizontal="center" vertical="center" wrapText="1"/>
    </xf>
    <xf numFmtId="167" fontId="6" fillId="0" borderId="3" xfId="0" applyNumberFormat="1" applyFont="1" applyBorder="1" applyAlignment="1">
      <alignment horizontal="center" vertical="center" wrapText="1"/>
    </xf>
    <xf numFmtId="9" fontId="13" fillId="0" borderId="3" xfId="3" applyFont="1" applyBorder="1" applyAlignment="1">
      <alignment horizontal="center" vertical="center"/>
    </xf>
    <xf numFmtId="167" fontId="6" fillId="0" borderId="3" xfId="2" applyNumberFormat="1" applyFont="1" applyBorder="1" applyAlignment="1">
      <alignment vertical="center" wrapText="1"/>
    </xf>
    <xf numFmtId="9" fontId="11" fillId="0" borderId="5" xfId="3" applyFont="1" applyFill="1" applyBorder="1" applyAlignment="1">
      <alignment horizontal="center" vertical="center"/>
    </xf>
    <xf numFmtId="9" fontId="13" fillId="0" borderId="5" xfId="3" applyFont="1" applyFill="1" applyBorder="1" applyAlignment="1">
      <alignment horizontal="center" vertical="center"/>
    </xf>
    <xf numFmtId="9" fontId="6" fillId="0" borderId="5" xfId="3" applyFont="1" applyFill="1" applyBorder="1" applyAlignment="1">
      <alignment horizontal="center" vertical="center" wrapText="1"/>
    </xf>
    <xf numFmtId="44" fontId="17" fillId="0" borderId="4" xfId="2" applyNumberFormat="1" applyFont="1" applyFill="1" applyBorder="1" applyAlignment="1">
      <alignment vertical="center" wrapText="1"/>
    </xf>
    <xf numFmtId="166" fontId="17" fillId="0" borderId="4" xfId="0" applyNumberFormat="1" applyFont="1" applyFill="1" applyBorder="1" applyAlignment="1">
      <alignment horizontal="center" vertical="center" wrapText="1"/>
    </xf>
    <xf numFmtId="44" fontId="19" fillId="0" borderId="3" xfId="2" applyNumberFormat="1" applyFont="1" applyBorder="1" applyAlignment="1">
      <alignment vertical="center"/>
    </xf>
    <xf numFmtId="170" fontId="19" fillId="0" borderId="3" xfId="0" applyNumberFormat="1" applyFont="1" applyBorder="1" applyAlignment="1">
      <alignment vertical="center"/>
    </xf>
    <xf numFmtId="169" fontId="19" fillId="0" borderId="3" xfId="0" applyNumberFormat="1" applyFont="1" applyBorder="1" applyAlignment="1">
      <alignment vertical="center"/>
    </xf>
    <xf numFmtId="171" fontId="19" fillId="0" borderId="3" xfId="2" applyNumberFormat="1" applyFont="1" applyBorder="1" applyAlignment="1">
      <alignment vertical="center"/>
    </xf>
    <xf numFmtId="0" fontId="22" fillId="0" borderId="0" xfId="0" applyFont="1" applyAlignment="1">
      <alignment horizontal="left" vertical="center"/>
    </xf>
    <xf numFmtId="0" fontId="25" fillId="0" borderId="0" xfId="0" applyFont="1" applyAlignment="1">
      <alignment vertical="center"/>
    </xf>
    <xf numFmtId="9" fontId="11" fillId="4" borderId="3" xfId="3" applyNumberFormat="1" applyFont="1" applyFill="1" applyBorder="1" applyAlignment="1">
      <alignment horizontal="left" vertical="center"/>
    </xf>
    <xf numFmtId="44" fontId="13" fillId="0" borderId="3" xfId="2" applyFont="1" applyFill="1" applyBorder="1" applyAlignment="1">
      <alignment vertical="center" wrapText="1"/>
    </xf>
    <xf numFmtId="0" fontId="13" fillId="0" borderId="4" xfId="0" applyFont="1" applyFill="1" applyBorder="1" applyAlignment="1">
      <alignment vertical="center"/>
    </xf>
    <xf numFmtId="9" fontId="13" fillId="0" borderId="3" xfId="3" applyFont="1" applyFill="1" applyBorder="1" applyAlignment="1">
      <alignment horizontal="left" vertical="center"/>
    </xf>
    <xf numFmtId="0" fontId="8" fillId="0" borderId="0" xfId="0" applyFont="1" applyBorder="1" applyAlignment="1">
      <alignment vertical="center"/>
    </xf>
    <xf numFmtId="0" fontId="6" fillId="0" borderId="3" xfId="0" applyFont="1" applyBorder="1" applyAlignment="1">
      <alignment horizontal="center"/>
    </xf>
    <xf numFmtId="172" fontId="21" fillId="10" borderId="9" xfId="5" applyNumberFormat="1" applyFont="1" applyBorder="1" applyAlignment="1">
      <alignment horizontal="center" vertical="center" wrapText="1"/>
    </xf>
    <xf numFmtId="9" fontId="17" fillId="0" borderId="4" xfId="3" applyNumberFormat="1" applyFont="1" applyFill="1" applyBorder="1" applyAlignment="1">
      <alignment horizontal="center" vertical="center" wrapText="1"/>
    </xf>
    <xf numFmtId="0" fontId="6" fillId="0" borderId="3" xfId="0" applyFont="1" applyBorder="1" applyAlignment="1">
      <alignment vertical="top" wrapText="1"/>
    </xf>
    <xf numFmtId="0" fontId="6" fillId="0" borderId="3" xfId="0" applyFont="1" applyBorder="1" applyAlignment="1">
      <alignment vertical="top"/>
    </xf>
    <xf numFmtId="0" fontId="14" fillId="0" borderId="0" xfId="0" applyFont="1" applyAlignment="1"/>
    <xf numFmtId="0" fontId="8" fillId="4" borderId="3" xfId="0" applyFont="1" applyFill="1" applyBorder="1" applyAlignment="1">
      <alignment vertical="top"/>
    </xf>
    <xf numFmtId="44" fontId="17" fillId="0" borderId="4" xfId="2" applyNumberFormat="1" applyFont="1" applyFill="1" applyBorder="1" applyAlignment="1">
      <alignment horizontal="center" vertical="center" wrapText="1"/>
    </xf>
    <xf numFmtId="172" fontId="19" fillId="0" borderId="3" xfId="0" applyNumberFormat="1" applyFont="1" applyBorder="1" applyAlignment="1">
      <alignment vertical="center"/>
    </xf>
    <xf numFmtId="44" fontId="10" fillId="4" borderId="3" xfId="2" applyFont="1" applyFill="1" applyBorder="1" applyAlignment="1">
      <alignment vertical="center" wrapText="1"/>
    </xf>
    <xf numFmtId="164" fontId="10" fillId="4" borderId="3" xfId="2" applyNumberFormat="1" applyFont="1" applyFill="1" applyBorder="1" applyAlignment="1">
      <alignment vertical="center" wrapText="1"/>
    </xf>
    <xf numFmtId="44" fontId="13" fillId="0" borderId="4" xfId="2" applyFont="1" applyFill="1" applyBorder="1" applyAlignment="1">
      <alignment vertical="center" wrapText="1"/>
    </xf>
    <xf numFmtId="9" fontId="11" fillId="4" borderId="4" xfId="3" applyFont="1" applyFill="1" applyBorder="1" applyAlignment="1">
      <alignment vertical="center" wrapText="1"/>
    </xf>
    <xf numFmtId="44" fontId="6" fillId="0" borderId="0" xfId="0" applyNumberFormat="1" applyFont="1"/>
    <xf numFmtId="0" fontId="10" fillId="4" borderId="4" xfId="0" applyFont="1" applyFill="1" applyBorder="1" applyAlignment="1"/>
    <xf numFmtId="0" fontId="10" fillId="4" borderId="3" xfId="0" applyFont="1" applyFill="1" applyBorder="1" applyAlignment="1"/>
    <xf numFmtId="9" fontId="11" fillId="4" borderId="3" xfId="3" quotePrefix="1" applyFont="1" applyFill="1" applyBorder="1" applyAlignment="1">
      <alignment horizontal="center" vertical="center" wrapText="1"/>
    </xf>
    <xf numFmtId="0" fontId="6" fillId="0" borderId="0" xfId="0" applyFont="1" applyAlignment="1">
      <alignment horizontal="right"/>
    </xf>
    <xf numFmtId="0" fontId="29" fillId="0" borderId="0" xfId="0" applyFont="1"/>
    <xf numFmtId="169" fontId="19" fillId="0" borderId="1" xfId="0" applyNumberFormat="1" applyFont="1" applyBorder="1" applyAlignment="1">
      <alignment vertical="center"/>
    </xf>
    <xf numFmtId="44" fontId="19" fillId="0" borderId="2" xfId="2" applyFont="1" applyBorder="1" applyAlignment="1">
      <alignment vertical="center"/>
    </xf>
    <xf numFmtId="166" fontId="17" fillId="0" borderId="15" xfId="1" applyNumberFormat="1" applyFont="1" applyFill="1" applyBorder="1" applyAlignment="1">
      <alignment horizontal="center" vertical="center" wrapText="1"/>
    </xf>
    <xf numFmtId="170" fontId="19" fillId="0" borderId="1" xfId="0" applyNumberFormat="1" applyFont="1" applyBorder="1" applyAlignment="1">
      <alignment vertical="center"/>
    </xf>
    <xf numFmtId="170" fontId="8" fillId="11" borderId="9" xfId="0" applyNumberFormat="1" applyFont="1" applyFill="1" applyBorder="1" applyAlignment="1">
      <alignment vertical="center"/>
    </xf>
    <xf numFmtId="9" fontId="13" fillId="0" borderId="3" xfId="3" applyFont="1" applyFill="1" applyBorder="1" applyAlignment="1">
      <alignment horizontal="center" vertical="center"/>
    </xf>
    <xf numFmtId="167" fontId="11" fillId="4" borderId="3" xfId="2" applyNumberFormat="1" applyFont="1" applyFill="1" applyBorder="1" applyAlignment="1">
      <alignment vertical="center"/>
    </xf>
    <xf numFmtId="167" fontId="17" fillId="0" borderId="9" xfId="2" applyNumberFormat="1" applyFont="1" applyFill="1" applyBorder="1" applyAlignment="1">
      <alignment vertical="center"/>
    </xf>
    <xf numFmtId="43" fontId="11" fillId="4" borderId="3" xfId="1" applyFont="1" applyFill="1" applyBorder="1" applyAlignment="1">
      <alignment horizontal="center"/>
    </xf>
    <xf numFmtId="0" fontId="13" fillId="0" borderId="3" xfId="0" applyFont="1" applyFill="1" applyBorder="1" applyAlignment="1">
      <alignment horizontal="left" vertical="center"/>
    </xf>
    <xf numFmtId="9" fontId="13" fillId="0" borderId="3" xfId="3" applyFont="1" applyFill="1" applyBorder="1" applyAlignment="1">
      <alignment horizontal="center"/>
    </xf>
    <xf numFmtId="0" fontId="7" fillId="8" borderId="4" xfId="0" applyFont="1" applyFill="1" applyBorder="1" applyAlignment="1">
      <alignment wrapText="1"/>
    </xf>
    <xf numFmtId="0" fontId="7" fillId="8" borderId="16" xfId="4" applyFont="1" applyFill="1" applyBorder="1" applyAlignment="1">
      <alignment horizontal="center" vertical="center" wrapText="1"/>
    </xf>
    <xf numFmtId="0" fontId="7" fillId="8" borderId="17" xfId="4" applyFont="1" applyFill="1" applyBorder="1" applyAlignment="1">
      <alignment horizontal="center" vertical="center" wrapText="1"/>
    </xf>
    <xf numFmtId="0" fontId="7" fillId="8" borderId="14" xfId="4" applyFont="1" applyFill="1" applyBorder="1" applyAlignment="1">
      <alignment horizontal="center" vertical="center" wrapText="1"/>
    </xf>
    <xf numFmtId="0" fontId="6" fillId="0" borderId="0" xfId="0" applyFont="1" applyBorder="1" applyAlignment="1">
      <alignment horizontal="left" vertical="center"/>
    </xf>
    <xf numFmtId="167" fontId="11" fillId="4" borderId="5" xfId="2" applyNumberFormat="1" applyFont="1" applyFill="1" applyBorder="1" applyAlignment="1">
      <alignment vertical="center"/>
    </xf>
    <xf numFmtId="0" fontId="19" fillId="0" borderId="0" xfId="0" applyFont="1" applyBorder="1" applyAlignment="1">
      <alignment horizontal="left" vertical="center"/>
    </xf>
    <xf numFmtId="1" fontId="11" fillId="4" borderId="3" xfId="1" applyNumberFormat="1" applyFont="1" applyFill="1" applyBorder="1" applyAlignment="1">
      <alignment horizontal="center" vertical="center"/>
    </xf>
    <xf numFmtId="167" fontId="11" fillId="4" borderId="7" xfId="2" applyNumberFormat="1" applyFont="1" applyFill="1" applyBorder="1" applyAlignment="1">
      <alignment vertical="center"/>
    </xf>
    <xf numFmtId="172" fontId="11" fillId="4" borderId="3" xfId="1" applyNumberFormat="1" applyFont="1" applyFill="1" applyBorder="1" applyAlignment="1">
      <alignment horizontal="center" vertical="center"/>
    </xf>
    <xf numFmtId="0" fontId="6" fillId="0" borderId="0" xfId="0" applyFont="1" applyBorder="1" applyAlignment="1">
      <alignment vertical="center"/>
    </xf>
    <xf numFmtId="0" fontId="35" fillId="0" borderId="0" xfId="0" applyFont="1" applyAlignment="1">
      <alignment vertical="top"/>
    </xf>
    <xf numFmtId="0" fontId="13" fillId="0" borderId="0" xfId="0" applyFont="1" applyAlignment="1">
      <alignment horizontal="center" vertical="top"/>
    </xf>
    <xf numFmtId="0" fontId="14" fillId="0" borderId="3" xfId="0" applyFont="1" applyBorder="1"/>
    <xf numFmtId="0" fontId="6" fillId="0" borderId="8" xfId="0" applyFont="1" applyBorder="1"/>
    <xf numFmtId="0" fontId="13" fillId="0" borderId="0" xfId="0" applyFont="1" applyAlignment="1">
      <alignment vertical="top"/>
    </xf>
    <xf numFmtId="3" fontId="13" fillId="0" borderId="0" xfId="0" applyNumberFormat="1" applyFont="1" applyAlignment="1">
      <alignment horizontal="left" vertical="top"/>
    </xf>
    <xf numFmtId="0" fontId="6" fillId="0" borderId="1" xfId="0" applyFont="1" applyBorder="1"/>
    <xf numFmtId="0" fontId="8" fillId="0" borderId="18" xfId="0" applyFont="1" applyBorder="1" applyAlignment="1">
      <alignment horizontal="right"/>
    </xf>
    <xf numFmtId="0" fontId="8"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xf numFmtId="0" fontId="6" fillId="0" borderId="22" xfId="0" applyFont="1" applyBorder="1" applyAlignment="1">
      <alignment horizontal="center"/>
    </xf>
    <xf numFmtId="0" fontId="8" fillId="0" borderId="23" xfId="0" applyFont="1" applyBorder="1" applyAlignment="1">
      <alignment horizontal="center"/>
    </xf>
    <xf numFmtId="0" fontId="14" fillId="0" borderId="21" xfId="0" applyFont="1" applyBorder="1"/>
    <xf numFmtId="0" fontId="6" fillId="0" borderId="22" xfId="0" applyFont="1" applyBorder="1"/>
    <xf numFmtId="0" fontId="6" fillId="0" borderId="23" xfId="0" applyFont="1" applyBorder="1" applyAlignment="1">
      <alignment horizontal="center"/>
    </xf>
    <xf numFmtId="167" fontId="6" fillId="0" borderId="23" xfId="2" applyNumberFormat="1" applyFont="1" applyBorder="1" applyAlignment="1">
      <alignment horizontal="center"/>
    </xf>
    <xf numFmtId="0" fontId="6" fillId="0" borderId="24" xfId="0" applyFont="1" applyBorder="1"/>
    <xf numFmtId="167" fontId="6" fillId="0" borderId="26" xfId="2" applyNumberFormat="1" applyFont="1" applyBorder="1" applyAlignment="1">
      <alignment horizontal="center"/>
    </xf>
    <xf numFmtId="0" fontId="19" fillId="0" borderId="27" xfId="0" applyFont="1" applyBorder="1"/>
    <xf numFmtId="167" fontId="19" fillId="0" borderId="28" xfId="2" applyNumberFormat="1" applyFont="1" applyBorder="1"/>
    <xf numFmtId="167" fontId="19" fillId="0" borderId="29" xfId="2" applyNumberFormat="1" applyFont="1" applyBorder="1" applyAlignment="1">
      <alignment horizontal="center"/>
    </xf>
    <xf numFmtId="0" fontId="8" fillId="0" borderId="30" xfId="0" applyFont="1" applyBorder="1"/>
    <xf numFmtId="167" fontId="17" fillId="0" borderId="31" xfId="2" applyNumberFormat="1" applyFont="1" applyBorder="1"/>
    <xf numFmtId="167" fontId="17" fillId="0" borderId="32" xfId="2" applyNumberFormat="1" applyFont="1" applyBorder="1" applyAlignment="1">
      <alignment horizontal="center"/>
    </xf>
    <xf numFmtId="0" fontId="14" fillId="0" borderId="27" xfId="0" applyFont="1" applyBorder="1"/>
    <xf numFmtId="0" fontId="6" fillId="0" borderId="28" xfId="0" applyFont="1" applyBorder="1"/>
    <xf numFmtId="0" fontId="6" fillId="0" borderId="29" xfId="0" applyFont="1" applyBorder="1" applyAlignment="1">
      <alignment horizontal="center"/>
    </xf>
    <xf numFmtId="167" fontId="6" fillId="0" borderId="22" xfId="2" applyNumberFormat="1" applyFont="1" applyBorder="1"/>
    <xf numFmtId="44" fontId="6" fillId="0" borderId="23" xfId="2" applyFont="1" applyBorder="1" applyAlignment="1">
      <alignment horizontal="center"/>
    </xf>
    <xf numFmtId="0" fontId="19" fillId="0" borderId="33" xfId="0" applyFont="1" applyBorder="1"/>
    <xf numFmtId="167" fontId="19" fillId="0" borderId="34" xfId="2" applyNumberFormat="1" applyFont="1" applyBorder="1"/>
    <xf numFmtId="167" fontId="19" fillId="0" borderId="35" xfId="2" applyNumberFormat="1" applyFont="1" applyBorder="1" applyAlignment="1">
      <alignment horizontal="center"/>
    </xf>
    <xf numFmtId="0" fontId="8" fillId="0" borderId="36" xfId="0" applyFont="1" applyBorder="1"/>
    <xf numFmtId="167" fontId="17" fillId="0" borderId="37" xfId="2" applyNumberFormat="1" applyFont="1" applyBorder="1"/>
    <xf numFmtId="167" fontId="17" fillId="0" borderId="38" xfId="2" applyNumberFormat="1" applyFont="1" applyBorder="1" applyAlignment="1">
      <alignment horizontal="center"/>
    </xf>
    <xf numFmtId="44" fontId="6" fillId="0" borderId="28" xfId="2" applyFont="1" applyBorder="1"/>
    <xf numFmtId="167" fontId="6" fillId="0" borderId="28" xfId="2" applyNumberFormat="1" applyFont="1" applyBorder="1"/>
    <xf numFmtId="167" fontId="8" fillId="0" borderId="29" xfId="2" applyNumberFormat="1" applyFont="1" applyBorder="1" applyAlignment="1">
      <alignment horizontal="center"/>
    </xf>
    <xf numFmtId="0" fontId="19" fillId="0" borderId="21" xfId="0" applyFont="1" applyBorder="1"/>
    <xf numFmtId="167" fontId="36" fillId="0" borderId="22" xfId="2" applyNumberFormat="1" applyFont="1" applyBorder="1"/>
    <xf numFmtId="167" fontId="36" fillId="0" borderId="23" xfId="2" applyNumberFormat="1" applyFont="1" applyBorder="1" applyAlignment="1">
      <alignment horizontal="center"/>
    </xf>
    <xf numFmtId="0" fontId="8" fillId="0" borderId="39" xfId="0" applyFont="1" applyBorder="1"/>
    <xf numFmtId="167" fontId="17" fillId="0" borderId="40" xfId="2" applyNumberFormat="1" applyFont="1" applyBorder="1"/>
    <xf numFmtId="167" fontId="17" fillId="0" borderId="41" xfId="2" applyNumberFormat="1" applyFont="1" applyBorder="1" applyAlignment="1">
      <alignment horizontal="center"/>
    </xf>
    <xf numFmtId="167" fontId="13" fillId="0" borderId="0" xfId="2" applyNumberFormat="1" applyFont="1" applyBorder="1"/>
    <xf numFmtId="167" fontId="13" fillId="0" borderId="0" xfId="2" applyNumberFormat="1" applyFont="1" applyBorder="1" applyAlignment="1">
      <alignment horizontal="center"/>
    </xf>
    <xf numFmtId="0" fontId="8" fillId="0" borderId="0" xfId="0" applyFont="1" applyAlignment="1">
      <alignment horizontal="right"/>
    </xf>
    <xf numFmtId="167" fontId="17" fillId="0" borderId="9" xfId="2" applyNumberFormat="1" applyFont="1" applyBorder="1"/>
    <xf numFmtId="1" fontId="11" fillId="4" borderId="3" xfId="1" quotePrefix="1" applyNumberFormat="1" applyFont="1" applyFill="1" applyBorder="1" applyAlignment="1">
      <alignment horizontal="center" vertical="center"/>
    </xf>
    <xf numFmtId="0" fontId="24" fillId="0" borderId="0" xfId="0" applyFont="1" applyAlignment="1">
      <alignment vertical="center"/>
    </xf>
    <xf numFmtId="14" fontId="11" fillId="4" borderId="3" xfId="1" applyNumberFormat="1" applyFont="1" applyFill="1" applyBorder="1" applyAlignment="1">
      <alignment horizontal="left" vertical="center" wrapText="1"/>
    </xf>
    <xf numFmtId="0" fontId="11" fillId="0" borderId="0" xfId="0" quotePrefix="1" applyFont="1"/>
    <xf numFmtId="0" fontId="11" fillId="0" borderId="0" xfId="0" applyFont="1" applyAlignment="1">
      <alignment horizontal="left"/>
    </xf>
    <xf numFmtId="173" fontId="11" fillId="0" borderId="3" xfId="0" applyNumberFormat="1" applyFont="1" applyBorder="1" applyAlignment="1">
      <alignment horizontal="center"/>
    </xf>
    <xf numFmtId="167" fontId="11" fillId="0" borderId="22" xfId="2" applyNumberFormat="1" applyFont="1" applyBorder="1"/>
    <xf numFmtId="167" fontId="11" fillId="0" borderId="25" xfId="2" applyNumberFormat="1" applyFont="1" applyBorder="1"/>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11" xfId="0" applyFont="1" applyBorder="1" applyAlignment="1">
      <alignment vertical="center"/>
    </xf>
    <xf numFmtId="0" fontId="32" fillId="0" borderId="0" xfId="0" applyFont="1" applyBorder="1" applyAlignment="1">
      <alignment vertical="center"/>
    </xf>
    <xf numFmtId="0" fontId="10" fillId="0" borderId="0"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28" fillId="0" borderId="45" xfId="0" applyFont="1" applyBorder="1" applyAlignment="1">
      <alignment vertical="center"/>
    </xf>
    <xf numFmtId="0" fontId="3" fillId="0" borderId="45" xfId="0" applyFont="1" applyBorder="1" applyAlignment="1">
      <alignment vertical="center"/>
    </xf>
    <xf numFmtId="0" fontId="28"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0" fillId="0" borderId="0" xfId="0" applyBorder="1" applyAlignment="1">
      <alignment horizontal="left" vertical="center"/>
    </xf>
    <xf numFmtId="0" fontId="3" fillId="0" borderId="11" xfId="0" applyFont="1" applyBorder="1" applyAlignment="1">
      <alignment vertical="center"/>
    </xf>
    <xf numFmtId="0" fontId="5" fillId="0" borderId="11" xfId="0" applyFont="1" applyBorder="1" applyAlignment="1">
      <alignment vertical="center"/>
    </xf>
    <xf numFmtId="0" fontId="3" fillId="0" borderId="0" xfId="0" applyFont="1" applyBorder="1" applyAlignment="1">
      <alignment horizontal="right" vertical="center"/>
    </xf>
    <xf numFmtId="0" fontId="6" fillId="0" borderId="46" xfId="0" applyFont="1" applyBorder="1" applyAlignment="1">
      <alignment vertical="center"/>
    </xf>
    <xf numFmtId="0" fontId="6" fillId="0" borderId="45" xfId="0" applyFont="1" applyBorder="1" applyAlignment="1">
      <alignment horizontal="left" vertical="center"/>
    </xf>
    <xf numFmtId="0" fontId="31" fillId="0" borderId="45" xfId="0" applyFont="1" applyBorder="1" applyAlignment="1">
      <alignment vertical="center"/>
    </xf>
    <xf numFmtId="0" fontId="8" fillId="0" borderId="45" xfId="0" applyFont="1" applyBorder="1" applyAlignment="1">
      <alignment horizontal="left" vertical="center"/>
    </xf>
    <xf numFmtId="0" fontId="8" fillId="0" borderId="0" xfId="0" applyFont="1" applyBorder="1" applyAlignment="1">
      <alignment horizontal="left" vertical="center"/>
    </xf>
    <xf numFmtId="0" fontId="22" fillId="0" borderId="43" xfId="0" applyFont="1" applyBorder="1" applyAlignment="1">
      <alignment horizontal="left" vertical="center"/>
    </xf>
    <xf numFmtId="0" fontId="0" fillId="0" borderId="0" xfId="0" applyBorder="1" applyAlignment="1">
      <alignment vertical="center"/>
    </xf>
    <xf numFmtId="0" fontId="6" fillId="0" borderId="0" xfId="0" applyFont="1" applyBorder="1"/>
    <xf numFmtId="0" fontId="22" fillId="0" borderId="47" xfId="0" applyFont="1" applyBorder="1" applyAlignment="1">
      <alignment horizontal="left" vertical="center"/>
    </xf>
    <xf numFmtId="0" fontId="5" fillId="0" borderId="45" xfId="0" applyFont="1" applyBorder="1" applyAlignment="1">
      <alignment vertical="center"/>
    </xf>
    <xf numFmtId="0" fontId="5" fillId="0" borderId="0" xfId="0" applyFont="1" applyBorder="1" applyAlignment="1">
      <alignment vertical="center"/>
    </xf>
    <xf numFmtId="0" fontId="23" fillId="0" borderId="45" xfId="0" applyFont="1" applyBorder="1" applyAlignment="1">
      <alignment vertical="center" wrapText="1"/>
    </xf>
    <xf numFmtId="0" fontId="6" fillId="0" borderId="11" xfId="0" applyFont="1" applyBorder="1" applyAlignment="1">
      <alignment vertical="center" wrapText="1"/>
    </xf>
    <xf numFmtId="0" fontId="23" fillId="0" borderId="45" xfId="0" applyFont="1" applyBorder="1" applyAlignment="1">
      <alignment vertical="center"/>
    </xf>
    <xf numFmtId="0" fontId="22" fillId="0" borderId="45" xfId="0" applyFont="1" applyBorder="1" applyAlignment="1">
      <alignment horizontal="left" vertical="center"/>
    </xf>
    <xf numFmtId="0" fontId="22"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167" fontId="11" fillId="4" borderId="4" xfId="2" applyNumberFormat="1" applyFont="1" applyFill="1" applyBorder="1" applyAlignment="1">
      <alignment vertical="center"/>
    </xf>
    <xf numFmtId="0" fontId="30" fillId="0" borderId="45" xfId="0" applyFont="1" applyBorder="1" applyAlignment="1"/>
    <xf numFmtId="0" fontId="19" fillId="0" borderId="45" xfId="0" applyFont="1" applyBorder="1" applyAlignment="1">
      <alignment horizontal="left" vertical="center"/>
    </xf>
    <xf numFmtId="167" fontId="36" fillId="0" borderId="7" xfId="2" applyNumberFormat="1" applyFont="1" applyFill="1" applyBorder="1" applyAlignment="1">
      <alignment vertical="center"/>
    </xf>
    <xf numFmtId="167" fontId="13" fillId="12" borderId="7" xfId="2" applyNumberFormat="1" applyFont="1" applyFill="1" applyBorder="1" applyAlignment="1">
      <alignment vertical="center"/>
    </xf>
    <xf numFmtId="0" fontId="8" fillId="0" borderId="0" xfId="0" applyFont="1"/>
    <xf numFmtId="0" fontId="7" fillId="8" borderId="7" xfId="4" applyFont="1" applyFill="1" applyBorder="1" applyAlignment="1">
      <alignment horizontal="center" vertical="center" wrapText="1"/>
    </xf>
    <xf numFmtId="167" fontId="13" fillId="12" borderId="3" xfId="2" applyNumberFormat="1" applyFont="1" applyFill="1" applyBorder="1" applyAlignment="1">
      <alignment vertical="center"/>
    </xf>
    <xf numFmtId="0" fontId="19" fillId="0" borderId="3" xfId="0" applyFont="1" applyBorder="1"/>
    <xf numFmtId="167" fontId="8" fillId="0" borderId="4" xfId="0" applyNumberFormat="1" applyFont="1" applyBorder="1"/>
    <xf numFmtId="167" fontId="13" fillId="12" borderId="5" xfId="2" applyNumberFormat="1" applyFont="1" applyFill="1" applyBorder="1" applyAlignment="1">
      <alignment vertical="center"/>
    </xf>
    <xf numFmtId="167" fontId="19" fillId="0" borderId="3" xfId="0" applyNumberFormat="1" applyFont="1" applyBorder="1"/>
    <xf numFmtId="0" fontId="13" fillId="0" borderId="0" xfId="0" applyFont="1"/>
    <xf numFmtId="167" fontId="17" fillId="13" borderId="4" xfId="2" applyNumberFormat="1" applyFont="1" applyFill="1" applyBorder="1" applyAlignment="1">
      <alignment horizontal="center" vertical="center" wrapText="1"/>
    </xf>
    <xf numFmtId="167" fontId="17" fillId="13" borderId="4" xfId="2" applyNumberFormat="1" applyFont="1" applyFill="1" applyBorder="1" applyAlignment="1">
      <alignment vertical="center" wrapText="1"/>
    </xf>
    <xf numFmtId="167" fontId="17" fillId="14" borderId="4" xfId="0" applyNumberFormat="1" applyFont="1" applyFill="1" applyBorder="1" applyAlignment="1">
      <alignment horizontal="center" vertical="center" wrapText="1"/>
    </xf>
    <xf numFmtId="167" fontId="6" fillId="0" borderId="4" xfId="0" applyNumberFormat="1" applyFont="1" applyBorder="1" applyAlignment="1">
      <alignment vertical="center"/>
    </xf>
    <xf numFmtId="167" fontId="4" fillId="0" borderId="4" xfId="2" applyNumberFormat="1" applyFont="1" applyBorder="1" applyAlignment="1">
      <alignment vertical="center"/>
    </xf>
    <xf numFmtId="167" fontId="6" fillId="0" borderId="5" xfId="0" applyNumberFormat="1" applyFont="1" applyBorder="1" applyAlignment="1">
      <alignment vertical="center"/>
    </xf>
    <xf numFmtId="167" fontId="8" fillId="15" borderId="4" xfId="2" applyNumberFormat="1" applyFont="1" applyFill="1" applyBorder="1" applyAlignment="1">
      <alignment vertical="center"/>
    </xf>
    <xf numFmtId="0" fontId="7" fillId="8" borderId="49" xfId="4" applyFont="1" applyFill="1" applyBorder="1" applyAlignment="1">
      <alignment horizontal="center" vertical="center" wrapText="1"/>
    </xf>
    <xf numFmtId="0" fontId="7" fillId="8" borderId="50" xfId="4" applyFont="1" applyFill="1" applyBorder="1" applyAlignment="1">
      <alignment horizontal="center" vertical="center" wrapText="1"/>
    </xf>
    <xf numFmtId="0" fontId="28" fillId="0" borderId="43" xfId="0" applyFont="1" applyBorder="1" applyAlignment="1">
      <alignment vertical="center"/>
    </xf>
    <xf numFmtId="0" fontId="26" fillId="0" borderId="43" xfId="0" applyFont="1" applyBorder="1" applyAlignment="1">
      <alignment vertical="center"/>
    </xf>
    <xf numFmtId="0" fontId="25" fillId="0" borderId="43" xfId="0" applyFont="1" applyBorder="1" applyAlignment="1">
      <alignment vertical="center"/>
    </xf>
    <xf numFmtId="0" fontId="26" fillId="0" borderId="43" xfId="0" applyFont="1" applyBorder="1" applyAlignment="1">
      <alignment horizontal="right" vertical="center"/>
    </xf>
    <xf numFmtId="0" fontId="27" fillId="0" borderId="43" xfId="0" applyFont="1" applyBorder="1" applyAlignment="1">
      <alignment vertical="center"/>
    </xf>
    <xf numFmtId="0" fontId="25" fillId="0" borderId="44" xfId="0" applyFont="1" applyBorder="1" applyAlignment="1">
      <alignment vertical="center"/>
    </xf>
    <xf numFmtId="0" fontId="14" fillId="0" borderId="45" xfId="0" applyFont="1" applyBorder="1" applyAlignment="1">
      <alignment horizontal="left" vertical="center"/>
    </xf>
    <xf numFmtId="167" fontId="13" fillId="0" borderId="3" xfId="2" applyNumberFormat="1" applyFont="1" applyFill="1" applyBorder="1" applyAlignment="1">
      <alignment vertical="center"/>
    </xf>
    <xf numFmtId="9" fontId="6" fillId="0" borderId="3" xfId="3" applyFont="1" applyBorder="1" applyAlignment="1">
      <alignment vertical="center"/>
    </xf>
    <xf numFmtId="167" fontId="6" fillId="0" borderId="3" xfId="0" applyNumberFormat="1" applyFont="1" applyBorder="1" applyAlignment="1">
      <alignment vertical="center"/>
    </xf>
    <xf numFmtId="0" fontId="10" fillId="0" borderId="0" xfId="0" applyFont="1" applyAlignment="1">
      <alignment vertical="center"/>
    </xf>
    <xf numFmtId="0" fontId="19" fillId="0" borderId="0" xfId="0" applyFont="1" applyAlignment="1">
      <alignment horizontal="left"/>
    </xf>
    <xf numFmtId="9" fontId="19" fillId="0" borderId="0" xfId="3" applyFont="1" applyAlignment="1">
      <alignment horizontal="left"/>
    </xf>
    <xf numFmtId="0" fontId="11" fillId="0" borderId="0" xfId="0" applyFont="1" applyAlignment="1">
      <alignment vertical="center"/>
    </xf>
    <xf numFmtId="167" fontId="11" fillId="4" borderId="3" xfId="2" applyNumberFormat="1" applyFont="1" applyFill="1" applyBorder="1" applyAlignment="1">
      <alignment horizontal="center" vertical="center" wrapText="1"/>
    </xf>
    <xf numFmtId="173" fontId="6" fillId="0" borderId="4" xfId="3" applyNumberFormat="1" applyFont="1" applyBorder="1" applyAlignment="1">
      <alignment vertical="center"/>
    </xf>
    <xf numFmtId="0" fontId="3" fillId="0" borderId="0" xfId="0" applyFont="1" applyBorder="1" applyAlignment="1">
      <alignment horizontal="left" vertical="center"/>
    </xf>
    <xf numFmtId="44" fontId="6" fillId="0" borderId="4" xfId="0" applyNumberFormat="1" applyFont="1" applyBorder="1" applyAlignment="1">
      <alignment horizontal="left" vertical="center" wrapText="1"/>
    </xf>
    <xf numFmtId="164" fontId="13" fillId="0" borderId="4" xfId="2" applyNumberFormat="1" applyFont="1" applyFill="1" applyBorder="1" applyAlignment="1">
      <alignment vertical="center" wrapText="1"/>
    </xf>
    <xf numFmtId="164" fontId="13" fillId="0" borderId="3" xfId="2" applyNumberFormat="1" applyFont="1" applyFill="1" applyBorder="1" applyAlignment="1">
      <alignment vertical="center" wrapText="1"/>
    </xf>
    <xf numFmtId="9" fontId="6" fillId="0" borderId="4" xfId="3" applyFont="1" applyBorder="1" applyAlignment="1">
      <alignment vertical="center"/>
    </xf>
    <xf numFmtId="9" fontId="6" fillId="0" borderId="5" xfId="3" applyFont="1" applyBorder="1" applyAlignment="1">
      <alignment vertical="center"/>
    </xf>
    <xf numFmtId="167" fontId="13" fillId="0" borderId="4" xfId="2" applyNumberFormat="1" applyFont="1" applyFill="1" applyBorder="1" applyAlignment="1">
      <alignment horizontal="center" vertical="center" wrapText="1"/>
    </xf>
    <xf numFmtId="167" fontId="17" fillId="16" borderId="4" xfId="0" applyNumberFormat="1" applyFont="1" applyFill="1" applyBorder="1" applyAlignment="1">
      <alignment horizontal="center" vertical="center" wrapText="1"/>
    </xf>
    <xf numFmtId="167" fontId="17" fillId="14" borderId="4" xfId="2" applyNumberFormat="1" applyFont="1" applyFill="1" applyBorder="1" applyAlignment="1">
      <alignment horizontal="center" vertical="center" wrapText="1"/>
    </xf>
    <xf numFmtId="167" fontId="6" fillId="0" borderId="4" xfId="2" applyNumberFormat="1" applyFont="1" applyBorder="1" applyAlignment="1">
      <alignment vertical="center"/>
    </xf>
    <xf numFmtId="9" fontId="8" fillId="0" borderId="4" xfId="3" applyFont="1" applyBorder="1" applyAlignment="1">
      <alignment vertical="center"/>
    </xf>
    <xf numFmtId="0" fontId="22" fillId="0" borderId="45" xfId="0" applyFont="1" applyBorder="1" applyAlignment="1">
      <alignment vertical="center"/>
    </xf>
    <xf numFmtId="0" fontId="3" fillId="0" borderId="42" xfId="0" applyFont="1" applyBorder="1" applyAlignment="1">
      <alignment vertical="center"/>
    </xf>
    <xf numFmtId="167" fontId="8" fillId="0" borderId="4" xfId="0" applyNumberFormat="1" applyFont="1" applyBorder="1" applyAlignment="1">
      <alignment vertical="center"/>
    </xf>
    <xf numFmtId="44" fontId="8" fillId="0" borderId="4" xfId="2" applyFont="1" applyBorder="1" applyAlignment="1">
      <alignment vertical="center"/>
    </xf>
    <xf numFmtId="167" fontId="8" fillId="0" borderId="5" xfId="0" applyNumberFormat="1" applyFont="1" applyBorder="1" applyAlignment="1">
      <alignment vertical="center"/>
    </xf>
    <xf numFmtId="9" fontId="8" fillId="0" borderId="5" xfId="3" applyFont="1" applyBorder="1" applyAlignment="1">
      <alignment vertical="center"/>
    </xf>
    <xf numFmtId="0" fontId="0" fillId="0" borderId="11" xfId="0" applyBorder="1" applyAlignment="1">
      <alignment horizontal="left" vertical="center"/>
    </xf>
    <xf numFmtId="0" fontId="8" fillId="0" borderId="0" xfId="0" applyFont="1" applyBorder="1" applyAlignment="1">
      <alignment horizontal="right" vertical="center"/>
    </xf>
    <xf numFmtId="0" fontId="30" fillId="0" borderId="45" xfId="0" applyFont="1" applyBorder="1" applyAlignment="1">
      <alignment horizontal="left" vertical="center"/>
    </xf>
    <xf numFmtId="0" fontId="12" fillId="4" borderId="1" xfId="0" applyFont="1" applyFill="1" applyBorder="1" applyAlignment="1">
      <alignment horizontal="left" vertical="center"/>
    </xf>
    <xf numFmtId="0" fontId="12" fillId="4" borderId="8" xfId="0" applyFont="1" applyFill="1" applyBorder="1" applyAlignment="1">
      <alignment horizontal="left" vertical="center"/>
    </xf>
    <xf numFmtId="0" fontId="12" fillId="4" borderId="2" xfId="0" applyFont="1" applyFill="1" applyBorder="1" applyAlignment="1">
      <alignment horizontal="left" vertical="center"/>
    </xf>
    <xf numFmtId="0" fontId="3" fillId="0" borderId="45" xfId="0" applyFont="1" applyBorder="1" applyAlignment="1">
      <alignment horizontal="left" vertical="center"/>
    </xf>
    <xf numFmtId="0" fontId="3" fillId="0" borderId="0" xfId="0" applyFont="1" applyBorder="1" applyAlignment="1">
      <alignment horizontal="left" vertical="center"/>
    </xf>
    <xf numFmtId="0" fontId="11" fillId="4" borderId="1" xfId="0" applyFont="1" applyFill="1" applyBorder="1" applyAlignment="1">
      <alignment horizontal="left" vertical="center"/>
    </xf>
    <xf numFmtId="0" fontId="11" fillId="4" borderId="2" xfId="0" applyFont="1" applyFill="1" applyBorder="1" applyAlignment="1">
      <alignment horizontal="left" vertical="center"/>
    </xf>
    <xf numFmtId="165" fontId="11" fillId="4" borderId="1" xfId="1" applyNumberFormat="1" applyFont="1" applyFill="1" applyBorder="1" applyAlignment="1">
      <alignment horizontal="left" vertical="center"/>
    </xf>
    <xf numFmtId="165" fontId="11" fillId="4" borderId="8" xfId="1" applyNumberFormat="1" applyFont="1" applyFill="1" applyBorder="1" applyAlignment="1">
      <alignment horizontal="left" vertical="center"/>
    </xf>
    <xf numFmtId="165" fontId="11" fillId="4" borderId="2" xfId="1" applyNumberFormat="1" applyFont="1" applyFill="1" applyBorder="1" applyAlignment="1">
      <alignment horizontal="left" vertical="center"/>
    </xf>
    <xf numFmtId="0" fontId="11" fillId="4" borderId="3" xfId="0" applyFont="1" applyFill="1" applyBorder="1" applyAlignment="1">
      <alignment horizontal="left" vertical="center"/>
    </xf>
    <xf numFmtId="0" fontId="11" fillId="4" borderId="51"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4" borderId="8" xfId="0" applyFont="1" applyFill="1" applyBorder="1" applyAlignment="1">
      <alignment horizontal="left" vertical="center"/>
    </xf>
    <xf numFmtId="0" fontId="3" fillId="0" borderId="10" xfId="0" applyFont="1" applyBorder="1" applyAlignment="1">
      <alignment horizontal="left" vertic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cellXfs>
  <cellStyles count="7">
    <cellStyle name="Accent1" xfId="4" builtinId="29"/>
    <cellStyle name="Bad" xfId="5" builtinId="27"/>
    <cellStyle name="Comma" xfId="1" builtinId="3"/>
    <cellStyle name="Currency" xfId="2" builtinId="4"/>
    <cellStyle name="Normal" xfId="0" builtinId="0"/>
    <cellStyle name="Normal 99 4 2" xfId="6" xr:uid="{0AAC83FF-9CE7-446B-AC95-E559F54F64A7}"/>
    <cellStyle name="Percent" xfId="3" builtinId="5"/>
  </cellStyles>
  <dxfs count="47">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rgb="FFA40000"/>
      </font>
      <fill>
        <patternFill>
          <bgColor rgb="FFFFC5C5"/>
        </patternFill>
      </fill>
    </dxf>
    <dxf>
      <font>
        <color theme="9" tint="-0.499984740745262"/>
      </font>
      <fill>
        <patternFill>
          <bgColor theme="9" tint="0.79998168889431442"/>
        </patternFill>
      </fill>
    </dxf>
    <dxf>
      <font>
        <color rgb="FFA40000"/>
      </font>
      <fill>
        <patternFill>
          <bgColor rgb="FFFFC5C5"/>
        </patternFill>
      </fill>
    </dxf>
    <dxf>
      <font>
        <color theme="9" tint="-0.499984740745262"/>
      </font>
      <fill>
        <patternFill>
          <bgColor theme="9" tint="0.79998168889431442"/>
        </patternFill>
      </fill>
    </dxf>
    <dxf>
      <font>
        <color theme="0" tint="-0.499984740745262"/>
      </font>
      <fill>
        <patternFill>
          <bgColor theme="0" tint="-0.499984740745262"/>
        </patternFill>
      </fill>
    </dxf>
    <dxf>
      <font>
        <color rgb="FFA40000"/>
      </font>
      <fill>
        <patternFill>
          <bgColor rgb="FFFFC5C5"/>
        </patternFill>
      </fill>
    </dxf>
    <dxf>
      <font>
        <color theme="9" tint="-0.499984740745262"/>
      </font>
      <fill>
        <patternFill>
          <bgColor theme="9" tint="0.79998168889431442"/>
        </patternFill>
      </fill>
    </dxf>
    <dxf>
      <font>
        <color theme="5" tint="-0.499984740745262"/>
      </font>
      <fill>
        <patternFill>
          <bgColor theme="5" tint="0.79998168889431442"/>
        </patternFill>
      </fill>
    </dxf>
    <dxf>
      <font>
        <color theme="8" tint="-0.499984740745262"/>
      </font>
      <fill>
        <patternFill>
          <bgColor theme="8" tint="0.59996337778862885"/>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C5C5"/>
      <color rgb="FFA40000"/>
      <color rgb="FFA8D1E0"/>
      <color rgb="FFC00000"/>
      <color rgb="FFFFB9B9"/>
      <color rgb="FFFFA3A3"/>
      <color rgb="FF93C7D9"/>
      <color rgb="FFAC9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Annual</a:t>
            </a:r>
            <a:r>
              <a:rPr lang="en-US" baseline="0"/>
              <a:t> Operating Cost Comparison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187049595679156"/>
          <c:y val="0.229370744721904"/>
          <c:w val="0.73185593130338478"/>
          <c:h val="0.528235552374135"/>
        </c:manualLayout>
      </c:layout>
      <c:barChart>
        <c:barDir val="col"/>
        <c:grouping val="stacked"/>
        <c:varyColors val="0"/>
        <c:ser>
          <c:idx val="0"/>
          <c:order val="0"/>
          <c:tx>
            <c:strRef>
              <c:f>'Electrification Calculator'!$B$38</c:f>
              <c:strCache>
                <c:ptCount val="1"/>
                <c:pt idx="0">
                  <c:v>Natural Gas Cost ($/yr)</c:v>
                </c:pt>
              </c:strCache>
            </c:strRef>
          </c:tx>
          <c:spPr>
            <a:solidFill>
              <a:srgbClr val="B14444"/>
            </a:solidFill>
            <a:ln>
              <a:noFill/>
            </a:ln>
            <a:effectLst/>
          </c:spPr>
          <c:invertIfNegative val="0"/>
          <c:cat>
            <c:strRef>
              <c:f>'Electrification Calculator'!$C$37:$E$37</c:f>
              <c:strCache>
                <c:ptCount val="3"/>
                <c:pt idx="0">
                  <c:v>Gas Heat - Baseline</c:v>
                </c:pt>
                <c:pt idx="1">
                  <c:v>HP - Current Elec Rate</c:v>
                </c:pt>
                <c:pt idx="2">
                  <c:v>HP - New Elec Rate</c:v>
                </c:pt>
              </c:strCache>
            </c:strRef>
          </c:cat>
          <c:val>
            <c:numRef>
              <c:f>'Electrification Calculator'!$C$38:$E$38</c:f>
              <c:numCache>
                <c:formatCode>_("$"* #,##0.00_);_("$"* \(#,##0.00\);_("$"* "-"??_);_(@_)</c:formatCode>
                <c:ptCount val="3"/>
                <c:pt idx="0" formatCode="_(&quot;$&quot;* #,##0_);_(&quot;$&quot;* \(#,##0\);_(&quot;$&quot;* &quot;-&quot;??_);_(@_)">
                  <c:v>4983.08</c:v>
                </c:pt>
                <c:pt idx="1">
                  <c:v>0</c:v>
                </c:pt>
                <c:pt idx="2">
                  <c:v>0</c:v>
                </c:pt>
              </c:numCache>
            </c:numRef>
          </c:val>
          <c:extLst>
            <c:ext xmlns:c16="http://schemas.microsoft.com/office/drawing/2014/chart" uri="{C3380CC4-5D6E-409C-BE32-E72D297353CC}">
              <c16:uniqueId val="{00000000-B8CB-4E07-B699-FB7AAC9D4D9A}"/>
            </c:ext>
          </c:extLst>
        </c:ser>
        <c:ser>
          <c:idx val="1"/>
          <c:order val="1"/>
          <c:tx>
            <c:strRef>
              <c:f>'Electrification Calculator'!$B$41</c:f>
              <c:strCache>
                <c:ptCount val="1"/>
                <c:pt idx="0">
                  <c:v>Total Elec Cost ($/yr)</c:v>
                </c:pt>
              </c:strCache>
            </c:strRef>
          </c:tx>
          <c:spPr>
            <a:solidFill>
              <a:schemeClr val="accent5">
                <a:lumMod val="75000"/>
              </a:schemeClr>
            </a:solidFill>
            <a:ln>
              <a:noFill/>
            </a:ln>
            <a:effectLst/>
          </c:spPr>
          <c:invertIfNegative val="0"/>
          <c:cat>
            <c:strRef>
              <c:f>'Electrification Calculator'!$C$37:$E$37</c:f>
              <c:strCache>
                <c:ptCount val="3"/>
                <c:pt idx="0">
                  <c:v>Gas Heat - Baseline</c:v>
                </c:pt>
                <c:pt idx="1">
                  <c:v>HP - Current Elec Rate</c:v>
                </c:pt>
                <c:pt idx="2">
                  <c:v>HP - New Elec Rate</c:v>
                </c:pt>
              </c:strCache>
            </c:strRef>
          </c:cat>
          <c:val>
            <c:numRef>
              <c:f>'Electrification Calculator'!$C$41:$E$41</c:f>
              <c:numCache>
                <c:formatCode>_("$"* #,##0_);_("$"* \(#,##0\);_("$"* "-"??_);_(@_)</c:formatCode>
                <c:ptCount val="3"/>
                <c:pt idx="0">
                  <c:v>50047.94999999999</c:v>
                </c:pt>
                <c:pt idx="1">
                  <c:v>60245.666187192393</c:v>
                </c:pt>
                <c:pt idx="2">
                  <c:v>56752.019914032564</c:v>
                </c:pt>
              </c:numCache>
            </c:numRef>
          </c:val>
          <c:extLst>
            <c:ext xmlns:c16="http://schemas.microsoft.com/office/drawing/2014/chart" uri="{C3380CC4-5D6E-409C-BE32-E72D297353CC}">
              <c16:uniqueId val="{00000001-B8CB-4E07-B699-FB7AAC9D4D9A}"/>
            </c:ext>
          </c:extLst>
        </c:ser>
        <c:dLbls>
          <c:showLegendKey val="0"/>
          <c:showVal val="0"/>
          <c:showCatName val="0"/>
          <c:showSerName val="0"/>
          <c:showPercent val="0"/>
          <c:showBubbleSize val="0"/>
        </c:dLbls>
        <c:gapWidth val="150"/>
        <c:overlap val="100"/>
        <c:axId val="361681384"/>
        <c:axId val="361679416"/>
      </c:barChart>
      <c:catAx>
        <c:axId val="36168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1679416"/>
        <c:crosses val="autoZero"/>
        <c:auto val="1"/>
        <c:lblAlgn val="ctr"/>
        <c:lblOffset val="100"/>
        <c:noMultiLvlLbl val="0"/>
      </c:catAx>
      <c:valAx>
        <c:axId val="36167941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1681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Net Present </a:t>
            </a:r>
            <a:r>
              <a:rPr lang="en-US" baseline="0"/>
              <a:t>Cost Comparison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187049595679156"/>
          <c:y val="0.229370744721904"/>
          <c:w val="0.73185593130338478"/>
          <c:h val="0.528235552374135"/>
        </c:manualLayout>
      </c:layout>
      <c:barChart>
        <c:barDir val="col"/>
        <c:grouping val="stacked"/>
        <c:varyColors val="0"/>
        <c:ser>
          <c:idx val="1"/>
          <c:order val="0"/>
          <c:tx>
            <c:strRef>
              <c:f>'Electrification Calculator'!$B$47</c:f>
              <c:strCache>
                <c:ptCount val="1"/>
                <c:pt idx="0">
                  <c:v>Net Present Cost (15 yrs)</c:v>
                </c:pt>
              </c:strCache>
            </c:strRef>
          </c:tx>
          <c:spPr>
            <a:solidFill>
              <a:schemeClr val="accent6">
                <a:lumMod val="75000"/>
              </a:schemeClr>
            </a:solidFill>
            <a:ln>
              <a:noFill/>
            </a:ln>
            <a:effectLst/>
          </c:spPr>
          <c:invertIfNegative val="0"/>
          <c:cat>
            <c:strRef>
              <c:f>'Electrification Calculator'!$C$46:$E$46</c:f>
              <c:strCache>
                <c:ptCount val="3"/>
                <c:pt idx="0">
                  <c:v>Gas Heat - Baseline</c:v>
                </c:pt>
                <c:pt idx="1">
                  <c:v>HP - Current Elec Rate</c:v>
                </c:pt>
                <c:pt idx="2">
                  <c:v>HP - New Elec Rate</c:v>
                </c:pt>
              </c:strCache>
            </c:strRef>
          </c:cat>
          <c:val>
            <c:numRef>
              <c:f>'Electrification Calculator'!$C$47:$E$47</c:f>
              <c:numCache>
                <c:formatCode>_("$"* #,##0_);_("$"* \(#,##0\);_("$"* "-"??_);_(@_)</c:formatCode>
                <c:ptCount val="3"/>
                <c:pt idx="0">
                  <c:v>764765.38574338797</c:v>
                </c:pt>
                <c:pt idx="1">
                  <c:v>799383.44458610762</c:v>
                </c:pt>
                <c:pt idx="2">
                  <c:v>765860.38476171484</c:v>
                </c:pt>
              </c:numCache>
            </c:numRef>
          </c:val>
          <c:extLst>
            <c:ext xmlns:c16="http://schemas.microsoft.com/office/drawing/2014/chart" uri="{C3380CC4-5D6E-409C-BE32-E72D297353CC}">
              <c16:uniqueId val="{00000001-9DFF-417C-87C9-DB58C931A897}"/>
            </c:ext>
          </c:extLst>
        </c:ser>
        <c:dLbls>
          <c:showLegendKey val="0"/>
          <c:showVal val="0"/>
          <c:showCatName val="0"/>
          <c:showSerName val="0"/>
          <c:showPercent val="0"/>
          <c:showBubbleSize val="0"/>
        </c:dLbls>
        <c:gapWidth val="150"/>
        <c:overlap val="100"/>
        <c:axId val="361681384"/>
        <c:axId val="361679416"/>
      </c:barChart>
      <c:catAx>
        <c:axId val="36168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1679416"/>
        <c:crosses val="autoZero"/>
        <c:auto val="1"/>
        <c:lblAlgn val="ctr"/>
        <c:lblOffset val="100"/>
        <c:noMultiLvlLbl val="0"/>
      </c:catAx>
      <c:valAx>
        <c:axId val="3616794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61681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200024</xdr:colOff>
      <xdr:row>48</xdr:row>
      <xdr:rowOff>47624</xdr:rowOff>
    </xdr:from>
    <xdr:to>
      <xdr:col>6</xdr:col>
      <xdr:colOff>0</xdr:colOff>
      <xdr:row>63</xdr:row>
      <xdr:rowOff>57149</xdr:rowOff>
    </xdr:to>
    <xdr:graphicFrame macro="">
      <xdr:nvGraphicFramePr>
        <xdr:cNvPr id="2" name="Chart 1">
          <a:extLst>
            <a:ext uri="{FF2B5EF4-FFF2-40B4-BE49-F238E27FC236}">
              <a16:creationId xmlns:a16="http://schemas.microsoft.com/office/drawing/2014/main" id="{CCA32F8E-96C4-4983-A220-EBD8EAFEA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219075</xdr:colOff>
      <xdr:row>48</xdr:row>
      <xdr:rowOff>47625</xdr:rowOff>
    </xdr:from>
    <xdr:to>
      <xdr:col>12</xdr:col>
      <xdr:colOff>133350</xdr:colOff>
      <xdr:row>63</xdr:row>
      <xdr:rowOff>66676</xdr:rowOff>
    </xdr:to>
    <xdr:graphicFrame macro="">
      <xdr:nvGraphicFramePr>
        <xdr:cNvPr id="3" name="Chart 2">
          <a:extLst>
            <a:ext uri="{FF2B5EF4-FFF2-40B4-BE49-F238E27FC236}">
              <a16:creationId xmlns:a16="http://schemas.microsoft.com/office/drawing/2014/main" id="{A27B8592-5DC4-4725-ABED-0B088CA8B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5</xdr:col>
      <xdr:colOff>304800</xdr:colOff>
      <xdr:row>4</xdr:row>
      <xdr:rowOff>123825</xdr:rowOff>
    </xdr:to>
    <xdr:sp macro="" textlink="">
      <xdr:nvSpPr>
        <xdr:cNvPr id="2" name="TextBox 1">
          <a:extLst>
            <a:ext uri="{FF2B5EF4-FFF2-40B4-BE49-F238E27FC236}">
              <a16:creationId xmlns:a16="http://schemas.microsoft.com/office/drawing/2014/main" id="{B4162D43-FEB5-451A-8A9F-115C2C3743E1}"/>
            </a:ext>
          </a:extLst>
        </xdr:cNvPr>
        <xdr:cNvSpPr txBox="1"/>
      </xdr:nvSpPr>
      <xdr:spPr>
        <a:xfrm>
          <a:off x="47625" y="238125"/>
          <a:ext cx="4343400" cy="6096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Note:</a:t>
          </a:r>
          <a:r>
            <a:rPr lang="en-US" sz="1000" b="1" baseline="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This sheet provides references of typical values that can be used as inputs on the calculator tab.</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11</xdr:col>
      <xdr:colOff>74613</xdr:colOff>
      <xdr:row>52</xdr:row>
      <xdr:rowOff>38099</xdr:rowOff>
    </xdr:from>
    <xdr:to>
      <xdr:col>18</xdr:col>
      <xdr:colOff>580043</xdr:colOff>
      <xdr:row>90</xdr:row>
      <xdr:rowOff>27221</xdr:rowOff>
    </xdr:to>
    <xdr:pic>
      <xdr:nvPicPr>
        <xdr:cNvPr id="3" name="Picture 2">
          <a:extLst>
            <a:ext uri="{FF2B5EF4-FFF2-40B4-BE49-F238E27FC236}">
              <a16:creationId xmlns:a16="http://schemas.microsoft.com/office/drawing/2014/main" id="{0E22AAD9-5795-42A3-8A55-C0589CCF11E0}"/>
            </a:ext>
          </a:extLst>
        </xdr:cNvPr>
        <xdr:cNvPicPr>
          <a:picLocks noChangeAspect="1"/>
        </xdr:cNvPicPr>
      </xdr:nvPicPr>
      <xdr:blipFill>
        <a:blip xmlns:r="http://schemas.openxmlformats.org/officeDocument/2006/relationships" r:embed="rId1"/>
        <a:stretch>
          <a:fillRect/>
        </a:stretch>
      </xdr:blipFill>
      <xdr:spPr>
        <a:xfrm>
          <a:off x="9428163" y="11639549"/>
          <a:ext cx="4972655" cy="69995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xdr:row>
      <xdr:rowOff>142875</xdr:rowOff>
    </xdr:from>
    <xdr:to>
      <xdr:col>8</xdr:col>
      <xdr:colOff>19049</xdr:colOff>
      <xdr:row>10</xdr:row>
      <xdr:rowOff>0</xdr:rowOff>
    </xdr:to>
    <xdr:sp macro="" textlink="">
      <xdr:nvSpPr>
        <xdr:cNvPr id="2" name="TextBox 1">
          <a:extLst>
            <a:ext uri="{FF2B5EF4-FFF2-40B4-BE49-F238E27FC236}">
              <a16:creationId xmlns:a16="http://schemas.microsoft.com/office/drawing/2014/main" id="{7FCD62B2-B45D-43B6-8221-4BAE7D634A4F}"/>
            </a:ext>
          </a:extLst>
        </xdr:cNvPr>
        <xdr:cNvSpPr txBox="1"/>
      </xdr:nvSpPr>
      <xdr:spPr>
        <a:xfrm>
          <a:off x="66675" y="628650"/>
          <a:ext cx="5162549" cy="9906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Note:</a:t>
          </a:r>
          <a:r>
            <a:rPr lang="en-US" sz="1000" b="1" baseline="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This sheet is used to calculate an average monthly load factor which is a relationship between monthly energy use and peak demand. The</a:t>
          </a:r>
          <a:r>
            <a:rPr lang="en-US" sz="1000" baseline="0">
              <a:solidFill>
                <a:schemeClr val="dk1"/>
              </a:solidFill>
              <a:effectLst/>
              <a:latin typeface="Arial" panose="020B0604020202020204" pitchFamily="34" charset="0"/>
              <a:ea typeface="+mn-ea"/>
              <a:cs typeface="Arial" panose="020B0604020202020204" pitchFamily="34" charset="0"/>
            </a:rPr>
            <a:t> average load factor is used in the electrification calculator to determine the estimated peak electrical demand each month given the input of the monthly energy use. The monthly values in this sheet were determined by analyzing data from past projects that had heating interval data available. </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79</xdr:row>
      <xdr:rowOff>0</xdr:rowOff>
    </xdr:from>
    <xdr:to>
      <xdr:col>11</xdr:col>
      <xdr:colOff>315416</xdr:colOff>
      <xdr:row>92</xdr:row>
      <xdr:rowOff>133662</xdr:rowOff>
    </xdr:to>
    <xdr:pic>
      <xdr:nvPicPr>
        <xdr:cNvPr id="3" name="Picture 2">
          <a:extLst>
            <a:ext uri="{FF2B5EF4-FFF2-40B4-BE49-F238E27FC236}">
              <a16:creationId xmlns:a16="http://schemas.microsoft.com/office/drawing/2014/main" id="{96E8B5A0-64BD-4B5C-A97F-65A2E3F7FC49}"/>
            </a:ext>
          </a:extLst>
        </xdr:cNvPr>
        <xdr:cNvPicPr>
          <a:picLocks noChangeAspect="1"/>
        </xdr:cNvPicPr>
      </xdr:nvPicPr>
      <xdr:blipFill>
        <a:blip xmlns:r="http://schemas.openxmlformats.org/officeDocument/2006/relationships" r:embed="rId1"/>
        <a:stretch>
          <a:fillRect/>
        </a:stretch>
      </xdr:blipFill>
      <xdr:spPr>
        <a:xfrm>
          <a:off x="609600" y="13601700"/>
          <a:ext cx="7821116" cy="2238687"/>
        </a:xfrm>
        <a:prstGeom prst="rect">
          <a:avLst/>
        </a:prstGeom>
      </xdr:spPr>
    </xdr:pic>
    <xdr:clientData/>
  </xdr:twoCellAnchor>
  <xdr:twoCellAnchor editAs="oneCell">
    <xdr:from>
      <xdr:col>1</xdr:col>
      <xdr:colOff>0</xdr:colOff>
      <xdr:row>96</xdr:row>
      <xdr:rowOff>0</xdr:rowOff>
    </xdr:from>
    <xdr:to>
      <xdr:col>11</xdr:col>
      <xdr:colOff>296364</xdr:colOff>
      <xdr:row>110</xdr:row>
      <xdr:rowOff>19369</xdr:rowOff>
    </xdr:to>
    <xdr:pic>
      <xdr:nvPicPr>
        <xdr:cNvPr id="4" name="Picture 3">
          <a:extLst>
            <a:ext uri="{FF2B5EF4-FFF2-40B4-BE49-F238E27FC236}">
              <a16:creationId xmlns:a16="http://schemas.microsoft.com/office/drawing/2014/main" id="{3E59E82F-7ACA-4391-9290-86C3163E238C}"/>
            </a:ext>
          </a:extLst>
        </xdr:cNvPr>
        <xdr:cNvPicPr>
          <a:picLocks noChangeAspect="1"/>
        </xdr:cNvPicPr>
      </xdr:nvPicPr>
      <xdr:blipFill>
        <a:blip xmlns:r="http://schemas.openxmlformats.org/officeDocument/2006/relationships" r:embed="rId2"/>
        <a:stretch>
          <a:fillRect/>
        </a:stretch>
      </xdr:blipFill>
      <xdr:spPr>
        <a:xfrm>
          <a:off x="609600" y="16354425"/>
          <a:ext cx="7802064" cy="2286319"/>
        </a:xfrm>
        <a:prstGeom prst="rect">
          <a:avLst/>
        </a:prstGeom>
      </xdr:spPr>
    </xdr:pic>
    <xdr:clientData/>
  </xdr:twoCellAnchor>
  <xdr:twoCellAnchor editAs="oneCell">
    <xdr:from>
      <xdr:col>1</xdr:col>
      <xdr:colOff>0</xdr:colOff>
      <xdr:row>112</xdr:row>
      <xdr:rowOff>0</xdr:rowOff>
    </xdr:from>
    <xdr:to>
      <xdr:col>12</xdr:col>
      <xdr:colOff>10624</xdr:colOff>
      <xdr:row>156</xdr:row>
      <xdr:rowOff>143889</xdr:rowOff>
    </xdr:to>
    <xdr:pic>
      <xdr:nvPicPr>
        <xdr:cNvPr id="5" name="Picture 4">
          <a:extLst>
            <a:ext uri="{FF2B5EF4-FFF2-40B4-BE49-F238E27FC236}">
              <a16:creationId xmlns:a16="http://schemas.microsoft.com/office/drawing/2014/main" id="{0ACDE2C4-AC28-44F5-9AA8-1C170657FAE1}"/>
            </a:ext>
          </a:extLst>
        </xdr:cNvPr>
        <xdr:cNvPicPr>
          <a:picLocks noChangeAspect="1"/>
        </xdr:cNvPicPr>
      </xdr:nvPicPr>
      <xdr:blipFill>
        <a:blip xmlns:r="http://schemas.openxmlformats.org/officeDocument/2006/relationships" r:embed="rId3"/>
        <a:stretch>
          <a:fillRect/>
        </a:stretch>
      </xdr:blipFill>
      <xdr:spPr>
        <a:xfrm>
          <a:off x="609600" y="18945225"/>
          <a:ext cx="7878274" cy="72685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FC442-79D1-4C77-B8F5-AD1AF1AFE09C}">
  <sheetPr>
    <tabColor theme="9" tint="-0.249977111117893"/>
  </sheetPr>
  <dimension ref="A1:AD125"/>
  <sheetViews>
    <sheetView tabSelected="1" zoomScaleNormal="100" zoomScaleSheetLayoutView="100" workbookViewId="0">
      <selection activeCell="D29" sqref="D29"/>
    </sheetView>
  </sheetViews>
  <sheetFormatPr defaultColWidth="9" defaultRowHeight="14.25" x14ac:dyDescent="0.25"/>
  <cols>
    <col min="1" max="1" width="15.140625" style="77" customWidth="1"/>
    <col min="2" max="2" width="15.42578125" style="77" customWidth="1"/>
    <col min="3" max="3" width="11.42578125" style="77" customWidth="1"/>
    <col min="4" max="4" width="11.140625" style="77" customWidth="1"/>
    <col min="5" max="5" width="10.7109375" style="77" customWidth="1"/>
    <col min="6" max="6" width="9.7109375" style="77" customWidth="1"/>
    <col min="7" max="7" width="10.140625" style="77" customWidth="1"/>
    <col min="8" max="8" width="10.5703125" style="77" customWidth="1"/>
    <col min="9" max="9" width="11" style="77" customWidth="1"/>
    <col min="10" max="10" width="12.28515625" style="77" customWidth="1"/>
    <col min="11" max="11" width="11.28515625" style="77" customWidth="1"/>
    <col min="12" max="12" width="11.5703125" style="77" customWidth="1"/>
    <col min="13" max="13" width="8.7109375" style="77" customWidth="1"/>
    <col min="14" max="14" width="10.7109375" style="77" customWidth="1"/>
    <col min="15" max="15" width="11.42578125" style="77" customWidth="1"/>
    <col min="16" max="16" width="10.7109375" style="77" customWidth="1"/>
    <col min="17" max="17" width="11.7109375" style="77" bestFit="1" customWidth="1"/>
    <col min="18" max="18" width="10.42578125" style="77" customWidth="1"/>
    <col min="19" max="19" width="10.140625" style="77" customWidth="1"/>
    <col min="20" max="20" width="10.28515625" style="77" customWidth="1"/>
    <col min="21" max="21" width="12.140625" style="77" customWidth="1"/>
    <col min="22" max="22" width="10.7109375" style="77" customWidth="1"/>
    <col min="23" max="23" width="10.7109375" style="77" bestFit="1" customWidth="1"/>
    <col min="24" max="24" width="12.28515625" style="77" customWidth="1"/>
    <col min="25" max="25" width="10.28515625" style="77" bestFit="1" customWidth="1"/>
    <col min="26" max="26" width="10.140625" style="77" customWidth="1"/>
    <col min="27" max="27" width="9" style="77"/>
    <col min="28" max="28" width="10.42578125" style="77" customWidth="1"/>
    <col min="29" max="29" width="9" style="77"/>
    <col min="30" max="30" width="10.42578125" style="77" customWidth="1"/>
    <col min="31" max="31" width="10.5703125" style="77" customWidth="1"/>
    <col min="32" max="16384" width="9" style="77"/>
  </cols>
  <sheetData>
    <row r="1" spans="1:23" s="4" customFormat="1" ht="15.75" x14ac:dyDescent="0.25">
      <c r="A1" s="197" t="s">
        <v>77</v>
      </c>
      <c r="B1" s="197"/>
      <c r="C1" s="197"/>
      <c r="D1" s="197"/>
      <c r="Q1" s="64"/>
      <c r="R1" s="64"/>
      <c r="S1" s="64"/>
      <c r="T1" s="64"/>
      <c r="U1" s="64"/>
      <c r="V1" s="64"/>
      <c r="W1" s="64"/>
    </row>
    <row r="2" spans="1:23" s="4" customFormat="1" ht="15.75" x14ac:dyDescent="0.25">
      <c r="A2" s="4" t="s">
        <v>172</v>
      </c>
      <c r="B2" s="198">
        <v>44011</v>
      </c>
      <c r="C2" s="197"/>
      <c r="D2" s="197"/>
      <c r="E2" s="196" t="s">
        <v>171</v>
      </c>
      <c r="O2" s="271"/>
      <c r="Q2" s="64"/>
      <c r="R2" s="64"/>
      <c r="S2" s="64"/>
      <c r="T2" s="64"/>
      <c r="U2" s="64"/>
      <c r="V2" s="64"/>
      <c r="W2" s="64"/>
    </row>
    <row r="3" spans="1:23" s="4" customFormat="1" ht="12.75" customHeight="1" thickBot="1" x14ac:dyDescent="0.3">
      <c r="A3" s="99"/>
      <c r="B3" s="99"/>
      <c r="C3" s="99"/>
      <c r="D3" s="99"/>
      <c r="G3" s="64"/>
      <c r="O3" s="271"/>
      <c r="V3" s="64"/>
      <c r="W3" s="64"/>
    </row>
    <row r="4" spans="1:23" s="4" customFormat="1" ht="15" x14ac:dyDescent="0.25">
      <c r="A4" s="214" t="s">
        <v>175</v>
      </c>
      <c r="B4" s="226"/>
      <c r="C4" s="226"/>
      <c r="D4" s="226"/>
      <c r="E4" s="215"/>
      <c r="F4" s="215"/>
      <c r="G4" s="216"/>
      <c r="H4" s="214" t="s">
        <v>101</v>
      </c>
      <c r="I4" s="215"/>
      <c r="J4" s="215"/>
      <c r="K4" s="215"/>
      <c r="L4" s="215"/>
      <c r="M4" s="216"/>
    </row>
    <row r="5" spans="1:23" s="4" customFormat="1" ht="15" x14ac:dyDescent="0.25">
      <c r="A5" s="213" t="s">
        <v>134</v>
      </c>
      <c r="B5" s="52"/>
      <c r="C5" s="297" t="s">
        <v>213</v>
      </c>
      <c r="D5" s="298"/>
      <c r="E5" s="299"/>
      <c r="F5" s="34"/>
      <c r="G5" s="218"/>
      <c r="H5" s="213"/>
      <c r="I5" s="34"/>
      <c r="J5" s="34"/>
      <c r="K5" s="34"/>
      <c r="L5" s="34"/>
      <c r="M5" s="218"/>
    </row>
    <row r="6" spans="1:23" s="4" customFormat="1" ht="15" x14ac:dyDescent="0.25">
      <c r="A6" s="213" t="s">
        <v>135</v>
      </c>
      <c r="B6" s="34"/>
      <c r="C6" s="302" t="s">
        <v>214</v>
      </c>
      <c r="D6" s="312"/>
      <c r="E6" s="303"/>
      <c r="F6" s="34"/>
      <c r="G6" s="218"/>
      <c r="H6" s="300" t="s">
        <v>138</v>
      </c>
      <c r="I6" s="301"/>
      <c r="J6" s="302" t="s">
        <v>86</v>
      </c>
      <c r="K6" s="303"/>
      <c r="L6" s="217"/>
      <c r="M6" s="294"/>
    </row>
    <row r="7" spans="1:23" s="4" customFormat="1" ht="12.75" customHeight="1" x14ac:dyDescent="0.25">
      <c r="A7" s="213" t="s">
        <v>136</v>
      </c>
      <c r="B7" s="34"/>
      <c r="C7" s="35">
        <v>28000</v>
      </c>
      <c r="D7" s="274"/>
      <c r="E7" s="274"/>
      <c r="F7" s="34"/>
      <c r="G7" s="218"/>
      <c r="H7" s="213"/>
      <c r="I7" s="34"/>
      <c r="J7" s="34"/>
      <c r="K7" s="34"/>
      <c r="L7" s="34"/>
      <c r="M7" s="218"/>
    </row>
    <row r="8" spans="1:23" s="4" customFormat="1" ht="12.75" customHeight="1" x14ac:dyDescent="0.25">
      <c r="A8" s="213" t="s">
        <v>137</v>
      </c>
      <c r="B8" s="34"/>
      <c r="C8" s="36" t="s">
        <v>215</v>
      </c>
      <c r="D8" s="274"/>
      <c r="E8" s="274"/>
      <c r="F8" s="34"/>
      <c r="G8" s="218"/>
      <c r="H8" s="288" t="s">
        <v>254</v>
      </c>
      <c r="I8" s="34"/>
      <c r="J8" s="34"/>
      <c r="K8" s="34"/>
      <c r="L8" s="34"/>
      <c r="M8" s="218"/>
    </row>
    <row r="9" spans="1:23" s="4" customFormat="1" ht="12.75" x14ac:dyDescent="0.25">
      <c r="A9" s="213"/>
      <c r="B9" s="34"/>
      <c r="C9" s="34"/>
      <c r="D9" s="34"/>
      <c r="E9" s="34"/>
      <c r="F9" s="34"/>
      <c r="G9" s="218"/>
      <c r="H9" s="300" t="s">
        <v>139</v>
      </c>
      <c r="I9" s="301"/>
      <c r="J9" s="307" t="s">
        <v>52</v>
      </c>
      <c r="K9" s="307"/>
      <c r="L9" s="307"/>
      <c r="M9" s="308"/>
    </row>
    <row r="10" spans="1:23" ht="15" thickBot="1" x14ac:dyDescent="0.3">
      <c r="A10" s="213" t="s">
        <v>140</v>
      </c>
      <c r="B10" s="34"/>
      <c r="C10" s="304" t="s">
        <v>216</v>
      </c>
      <c r="D10" s="305"/>
      <c r="E10" s="306"/>
      <c r="F10" s="34"/>
      <c r="G10" s="219"/>
      <c r="H10" s="206"/>
      <c r="I10" s="34"/>
      <c r="J10" s="34"/>
      <c r="K10" s="34"/>
      <c r="L10" s="34"/>
      <c r="M10" s="218"/>
      <c r="N10" s="4"/>
    </row>
    <row r="11" spans="1:23" s="64" customFormat="1" ht="12.75" customHeight="1" thickBot="1" x14ac:dyDescent="0.3">
      <c r="A11" s="213" t="s">
        <v>148</v>
      </c>
      <c r="B11" s="34"/>
      <c r="C11" s="101">
        <v>0.8</v>
      </c>
      <c r="D11" s="227"/>
      <c r="E11" s="227"/>
      <c r="F11" s="34"/>
      <c r="G11" s="207"/>
      <c r="H11" s="206"/>
      <c r="I11" s="34"/>
      <c r="J11" s="309" t="s">
        <v>225</v>
      </c>
      <c r="K11" s="310"/>
      <c r="L11" s="311"/>
      <c r="M11" s="218"/>
      <c r="N11" s="4"/>
    </row>
    <row r="12" spans="1:23" s="64" customFormat="1" ht="12.75" customHeight="1" thickBot="1" x14ac:dyDescent="0.3">
      <c r="A12" s="213" t="s">
        <v>141</v>
      </c>
      <c r="B12" s="34"/>
      <c r="C12" s="302" t="s">
        <v>80</v>
      </c>
      <c r="D12" s="312"/>
      <c r="E12" s="312"/>
      <c r="F12" s="303"/>
      <c r="G12" s="207"/>
      <c r="H12" s="206"/>
      <c r="I12" s="34"/>
      <c r="J12" s="137" t="s">
        <v>0</v>
      </c>
      <c r="K12" s="138" t="s">
        <v>1</v>
      </c>
      <c r="L12" s="139" t="s">
        <v>2</v>
      </c>
      <c r="M12" s="219"/>
      <c r="N12" s="4"/>
    </row>
    <row r="13" spans="1:23" s="64" customFormat="1" ht="12.75" customHeight="1" x14ac:dyDescent="0.25">
      <c r="A13" s="206" t="s">
        <v>142</v>
      </c>
      <c r="B13" s="146"/>
      <c r="C13" s="143">
        <v>9</v>
      </c>
      <c r="D13" s="146"/>
      <c r="E13" s="146"/>
      <c r="F13" s="146"/>
      <c r="G13" s="207"/>
      <c r="H13" s="206"/>
      <c r="I13" s="220" t="s">
        <v>9</v>
      </c>
      <c r="J13" s="117">
        <f>IF($J$9=Lookups!B30,Lookups!B38,IF($J$9=Lookups!B31,Lookups!B45,IF($J$9=Lookups!C30,Lookups!B54,IF($J$9=Lookups!C31,Lookups!B61,IF($J$9=Lookups!C32,Lookups!B68,IF($J$9="Custom",Lookups!B77,"ERROR"))))))</f>
        <v>25.07</v>
      </c>
      <c r="K13" s="279">
        <f>IF($J$9=Lookups!B30,Lookups!C38,IF($J$9=Lookups!B31,Lookups!C45,IF($J$9=Lookups!C30,Lookups!C54,IF($J$9=Lookups!C31,Lookups!C61,IF($J$9=Lookups!C32,Lookups!C68,IF($J$9="Custom",Lookups!C77,"ERROR"))))))</f>
        <v>4.5499999999999999E-2</v>
      </c>
      <c r="L13" s="279">
        <f>IF($J$9=Lookups!B30,Lookups!D38,IF($J$9=Lookups!B31,Lookups!D45,IF($J$9=Lookups!C30,Lookups!D54,IF($J$9=Lookups!C31,Lookups!D61,IF($J$9=Lookups!C32,Lookups!D68,IF($J$9="Custom",Lookups!D77,"ERROR"))))))</f>
        <v>4.5499999999999999E-2</v>
      </c>
      <c r="M13" s="207"/>
      <c r="N13" s="4"/>
    </row>
    <row r="14" spans="1:23" s="64" customFormat="1" ht="12.75" customHeight="1" x14ac:dyDescent="0.25">
      <c r="A14" s="206" t="s">
        <v>149</v>
      </c>
      <c r="B14" s="146"/>
      <c r="C14" s="145">
        <v>10</v>
      </c>
      <c r="D14" s="146"/>
      <c r="E14" s="146"/>
      <c r="F14" s="146"/>
      <c r="G14" s="207"/>
      <c r="H14" s="206"/>
      <c r="I14" s="220" t="s">
        <v>7</v>
      </c>
      <c r="J14" s="102">
        <f>IF($J$9=Lookups!B30,Lookups!B39,IF($J$9=Lookups!B31,Lookups!B46,IF($J$9=Lookups!C30,Lookups!B55,IF($J$9=Lookups!C31,Lookups!B62,IF($J$9=Lookups!C32,Lookups!B69,IF($J$9="Custom",Lookups!B78,"ERROR"))))))</f>
        <v>20.52</v>
      </c>
      <c r="K14" s="280">
        <f>IF($J$9=Lookups!B30,Lookups!C39,IF($J$9=Lookups!B31,Lookups!C46,IF($J$9=Lookups!C30,Lookups!C55,IF($J$9=Lookups!C31,Lookups!C62,IF($J$9=Lookups!C32,Lookups!C69,IF($J$9="Custom",Lookups!C78,"ERROR"))))))</f>
        <v>4.5499999999999999E-2</v>
      </c>
      <c r="L14" s="280">
        <f>IF($J$9=Lookups!B30,Lookups!D39,IF($J$9=Lookups!B31,Lookups!D46,IF($J$9=Lookups!C30,Lookups!D55,IF($J$9=Lookups!C31,Lookups!D62,IF($J$9=Lookups!C32,Lookups!D69,IF($J$9="Custom",Lookups!D78,"ERROR"))))))</f>
        <v>4.5499999999999999E-2</v>
      </c>
      <c r="M14" s="207"/>
      <c r="N14" s="4"/>
    </row>
    <row r="15" spans="1:23" s="64" customFormat="1" ht="12.75" x14ac:dyDescent="0.25">
      <c r="A15" s="206" t="s">
        <v>146</v>
      </c>
      <c r="B15" s="146"/>
      <c r="C15" s="143" t="s">
        <v>199</v>
      </c>
      <c r="D15" s="146"/>
      <c r="E15" s="146"/>
      <c r="F15" s="146"/>
      <c r="G15" s="207"/>
      <c r="H15" s="206"/>
      <c r="I15" s="220" t="s">
        <v>3</v>
      </c>
      <c r="J15" s="103" t="s">
        <v>4</v>
      </c>
      <c r="K15" s="277"/>
      <c r="L15" s="277"/>
      <c r="M15" s="207"/>
      <c r="N15" s="4"/>
    </row>
    <row r="16" spans="1:23" s="64" customFormat="1" ht="12.75" customHeight="1" x14ac:dyDescent="0.2">
      <c r="A16" s="213" t="s">
        <v>150</v>
      </c>
      <c r="B16" s="34"/>
      <c r="C16" s="145">
        <v>10.1</v>
      </c>
      <c r="D16" s="146"/>
      <c r="E16" s="228"/>
      <c r="F16" s="228"/>
      <c r="G16" s="207"/>
      <c r="H16" s="206"/>
      <c r="I16" s="34"/>
      <c r="J16" s="34"/>
      <c r="K16" s="34"/>
      <c r="L16" s="34"/>
      <c r="M16" s="207"/>
      <c r="N16" s="4"/>
    </row>
    <row r="17" spans="1:14" s="64" customFormat="1" ht="13.5" thickBot="1" x14ac:dyDescent="0.3">
      <c r="A17" s="221"/>
      <c r="B17" s="229"/>
      <c r="C17" s="229"/>
      <c r="D17" s="229"/>
      <c r="E17" s="210"/>
      <c r="F17" s="210"/>
      <c r="G17" s="211"/>
      <c r="H17" s="206"/>
      <c r="I17" s="146"/>
      <c r="J17" s="146"/>
      <c r="K17" s="146"/>
      <c r="L17" s="146"/>
      <c r="M17" s="207"/>
      <c r="N17" s="4"/>
    </row>
    <row r="18" spans="1:14" s="64" customFormat="1" ht="12.75" customHeight="1" x14ac:dyDescent="0.25">
      <c r="A18" s="214" t="s">
        <v>132</v>
      </c>
      <c r="B18" s="204"/>
      <c r="C18" s="204"/>
      <c r="D18" s="204"/>
      <c r="E18" s="204"/>
      <c r="F18" s="204"/>
      <c r="G18" s="205"/>
      <c r="H18" s="206"/>
      <c r="I18" s="146"/>
      <c r="J18" s="146"/>
      <c r="K18" s="146"/>
      <c r="L18" s="146"/>
      <c r="M18" s="207"/>
      <c r="N18" s="4"/>
    </row>
    <row r="19" spans="1:14" s="64" customFormat="1" ht="12.75" customHeight="1" x14ac:dyDescent="0.25">
      <c r="A19" s="222" t="s">
        <v>145</v>
      </c>
      <c r="B19" s="140"/>
      <c r="C19" s="140"/>
      <c r="D19" s="140"/>
      <c r="E19" s="50" t="s">
        <v>253</v>
      </c>
      <c r="F19" s="146"/>
      <c r="G19" s="207"/>
      <c r="H19" s="288" t="s">
        <v>237</v>
      </c>
      <c r="I19" s="146"/>
      <c r="J19" s="146"/>
      <c r="K19" s="146"/>
      <c r="L19" s="146"/>
      <c r="M19" s="207"/>
      <c r="N19" s="4"/>
    </row>
    <row r="20" spans="1:14" s="64" customFormat="1" ht="12.75" customHeight="1" x14ac:dyDescent="0.25">
      <c r="A20" s="223"/>
      <c r="B20" s="146"/>
      <c r="C20" s="146"/>
      <c r="D20" s="146"/>
      <c r="E20" s="146"/>
      <c r="F20" s="146"/>
      <c r="G20" s="207"/>
      <c r="H20" s="300" t="s">
        <v>139</v>
      </c>
      <c r="I20" s="301"/>
      <c r="J20" s="307" t="s">
        <v>53</v>
      </c>
      <c r="K20" s="307"/>
      <c r="L20" s="307"/>
      <c r="M20" s="308"/>
      <c r="N20" s="4"/>
    </row>
    <row r="21" spans="1:14" s="64" customFormat="1" ht="26.25" thickBot="1" x14ac:dyDescent="0.25">
      <c r="A21" s="240" t="s">
        <v>178</v>
      </c>
      <c r="B21" s="146"/>
      <c r="C21" s="146"/>
      <c r="D21" s="46" t="s">
        <v>176</v>
      </c>
      <c r="E21" s="46" t="s">
        <v>177</v>
      </c>
      <c r="F21" s="146"/>
      <c r="G21" s="207"/>
      <c r="H21" s="206"/>
      <c r="I21" s="146"/>
      <c r="J21" s="146"/>
      <c r="K21" s="146"/>
      <c r="L21" s="146"/>
      <c r="M21" s="207"/>
      <c r="N21" s="4"/>
    </row>
    <row r="22" spans="1:14" s="64" customFormat="1" ht="12.75" customHeight="1" thickBot="1" x14ac:dyDescent="0.3">
      <c r="A22" s="222" t="s">
        <v>179</v>
      </c>
      <c r="B22" s="140"/>
      <c r="C22" s="140"/>
      <c r="D22" s="239">
        <v>216000</v>
      </c>
      <c r="E22" s="131">
        <v>216000</v>
      </c>
      <c r="F22" s="146"/>
      <c r="G22" s="207"/>
      <c r="H22" s="206"/>
      <c r="I22" s="34"/>
      <c r="J22" s="309" t="s">
        <v>94</v>
      </c>
      <c r="K22" s="310"/>
      <c r="L22" s="311"/>
      <c r="M22" s="207"/>
      <c r="N22" s="4"/>
    </row>
    <row r="23" spans="1:14" s="64" customFormat="1" ht="12.75" customHeight="1" thickBot="1" x14ac:dyDescent="0.3">
      <c r="A23" s="241" t="s">
        <v>181</v>
      </c>
      <c r="B23" s="142"/>
      <c r="C23" s="142"/>
      <c r="D23" s="242">
        <f>D22/$C$14/$C$13</f>
        <v>2400</v>
      </c>
      <c r="E23" s="242">
        <f>E22/$C$14/$C$13</f>
        <v>2400</v>
      </c>
      <c r="F23" s="146"/>
      <c r="G23" s="207"/>
      <c r="H23" s="206"/>
      <c r="I23" s="34"/>
      <c r="J23" s="137" t="s">
        <v>0</v>
      </c>
      <c r="K23" s="259" t="s">
        <v>1</v>
      </c>
      <c r="L23" s="260" t="s">
        <v>2</v>
      </c>
      <c r="M23" s="207"/>
      <c r="N23" s="4"/>
    </row>
    <row r="24" spans="1:14" s="64" customFormat="1" ht="12.75" customHeight="1" x14ac:dyDescent="0.25">
      <c r="A24" s="222" t="s">
        <v>180</v>
      </c>
      <c r="B24" s="140"/>
      <c r="C24" s="140"/>
      <c r="D24" s="131">
        <v>3800</v>
      </c>
      <c r="E24" s="144">
        <v>2400</v>
      </c>
      <c r="F24" s="146"/>
      <c r="G24" s="207"/>
      <c r="H24" s="206"/>
      <c r="I24" s="220" t="s">
        <v>9</v>
      </c>
      <c r="J24" s="118">
        <v>0</v>
      </c>
      <c r="K24" s="118">
        <v>0</v>
      </c>
      <c r="L24" s="118">
        <v>0</v>
      </c>
      <c r="M24" s="207"/>
      <c r="N24" s="4"/>
    </row>
    <row r="25" spans="1:14" s="64" customFormat="1" ht="12.75" customHeight="1" x14ac:dyDescent="0.25">
      <c r="A25" s="222" t="s">
        <v>193</v>
      </c>
      <c r="B25" s="140"/>
      <c r="C25" s="140"/>
      <c r="D25" s="144">
        <v>1500</v>
      </c>
      <c r="E25" s="243"/>
      <c r="F25" s="146"/>
      <c r="G25" s="207"/>
      <c r="H25" s="206"/>
      <c r="I25" s="220" t="s">
        <v>7</v>
      </c>
      <c r="J25" s="118">
        <v>0</v>
      </c>
      <c r="K25" s="118">
        <v>0</v>
      </c>
      <c r="L25" s="118">
        <v>0</v>
      </c>
      <c r="M25" s="207"/>
      <c r="N25" s="4"/>
    </row>
    <row r="26" spans="1:14" s="64" customFormat="1" ht="13.5" thickBot="1" x14ac:dyDescent="0.3">
      <c r="A26" s="222" t="s">
        <v>187</v>
      </c>
      <c r="B26" s="140"/>
      <c r="C26" s="140"/>
      <c r="D26" s="243"/>
      <c r="E26" s="144">
        <f>3000+2000*C13</f>
        <v>21000</v>
      </c>
      <c r="F26" s="146"/>
      <c r="G26" s="207"/>
      <c r="H26" s="206"/>
      <c r="I26" s="34"/>
      <c r="J26" s="34"/>
      <c r="K26" s="34"/>
      <c r="L26" s="34"/>
      <c r="M26" s="218"/>
      <c r="N26" s="4"/>
    </row>
    <row r="27" spans="1:14" s="64" customFormat="1" ht="15.75" customHeight="1" thickBot="1" x14ac:dyDescent="0.3">
      <c r="A27" s="224" t="s">
        <v>205</v>
      </c>
      <c r="B27" s="140"/>
      <c r="C27" s="140"/>
      <c r="D27" s="132">
        <f>D22+D24+D25</f>
        <v>221300</v>
      </c>
      <c r="E27" s="132">
        <f>IF(E19="NC",E22+E24+E26,IF(E19="EOL",E22+E24,0))</f>
        <v>239400</v>
      </c>
      <c r="F27" s="146"/>
      <c r="G27" s="207"/>
      <c r="H27" s="206"/>
      <c r="I27" s="34"/>
      <c r="J27" s="309" t="s">
        <v>226</v>
      </c>
      <c r="K27" s="310"/>
      <c r="L27" s="311"/>
      <c r="M27" s="218"/>
      <c r="N27" s="4"/>
    </row>
    <row r="28" spans="1:14" s="64" customFormat="1" ht="12.75" customHeight="1" thickBot="1" x14ac:dyDescent="0.3">
      <c r="A28" s="222" t="s">
        <v>244</v>
      </c>
      <c r="B28" s="140"/>
      <c r="C28" s="140"/>
      <c r="D28" s="141">
        <v>0</v>
      </c>
      <c r="E28" s="243"/>
      <c r="F28" s="146"/>
      <c r="G28" s="207"/>
      <c r="H28" s="206"/>
      <c r="I28" s="34"/>
      <c r="J28" s="137" t="s">
        <v>0</v>
      </c>
      <c r="K28" s="138" t="s">
        <v>1</v>
      </c>
      <c r="L28" s="139" t="s">
        <v>2</v>
      </c>
      <c r="M28" s="219"/>
      <c r="N28" s="4"/>
    </row>
    <row r="29" spans="1:14" s="64" customFormat="1" ht="12.75" customHeight="1" thickBot="1" x14ac:dyDescent="0.3">
      <c r="A29" s="224" t="s">
        <v>206</v>
      </c>
      <c r="B29" s="140"/>
      <c r="C29" s="140"/>
      <c r="D29" s="132">
        <f>D27-D28</f>
        <v>221300</v>
      </c>
      <c r="E29" s="132">
        <f>E27-E28</f>
        <v>239400</v>
      </c>
      <c r="F29" s="146"/>
      <c r="G29" s="207"/>
      <c r="H29" s="206"/>
      <c r="I29" s="220" t="s">
        <v>9</v>
      </c>
      <c r="J29" s="117">
        <f>IF($J$20=Lookups!B30,Lookups!B38,IF($J$20=Lookups!B31,Lookups!B45,IF($J$20=Lookups!C30,Lookups!B54,IF($J$20=Lookups!C31,Lookups!B61,IF($J$20=Lookups!C32,Lookups!B68,IF($J$20="Custom",Lookups!B77,"ERROR"))))))*IF(J24=0,1,(1-J24))</f>
        <v>23.48</v>
      </c>
      <c r="K29" s="279">
        <f>IF($J$20=Lookups!B30,Lookups!C38,IF($J$20=Lookups!B31,Lookups!C45,IF($J$20=Lookups!C30,Lookups!C54,IF($J$20=Lookups!C31,Lookups!C61,IF($J$20=Lookups!C32,Lookups!C68,IF($J$20="Custom",Lookups!C77,"ERROR"))))))*IF(K24=0,1,(1-K24))</f>
        <v>5.3400000000000003E-2</v>
      </c>
      <c r="L29" s="279">
        <f>IF($J$20=Lookups!B30,Lookups!D38,IF($J$20=Lookups!B31,Lookups!D45,IF($J$20=Lookups!C30,Lookups!D54,IF($J$20=Lookups!C31,Lookups!D61,IF($J$20=Lookups!C32,Lookups!D68,IF($J$20="Custom",Lookups!D77,"ERROR"))))))*IF(L24=0,1,(1-L24))</f>
        <v>3.8899999999999997E-2</v>
      </c>
      <c r="M29" s="207"/>
      <c r="N29" s="4"/>
    </row>
    <row r="30" spans="1:14" s="64" customFormat="1" ht="12.75" customHeight="1" x14ac:dyDescent="0.25">
      <c r="A30" s="206"/>
      <c r="B30" s="146"/>
      <c r="C30" s="146"/>
      <c r="D30" s="146"/>
      <c r="E30" s="146"/>
      <c r="F30" s="146"/>
      <c r="G30" s="207"/>
      <c r="H30" s="206"/>
      <c r="I30" s="220" t="s">
        <v>7</v>
      </c>
      <c r="J30" s="117">
        <f>IF($J$20=Lookups!B30,Lookups!B39,IF($J$20=Lookups!B31,Lookups!B46,IF($J$20=Lookups!C30,Lookups!B55,IF($J$20=Lookups!C31,Lookups!B62,IF($J$20=Lookups!C32,Lookups!B69,IF($J$20="Custom",Lookups!B78,"ERROR"))))))*IF(J25=0,1,(1-J25))</f>
        <v>18.34</v>
      </c>
      <c r="K30" s="279">
        <f>IF($J$20=Lookups!B30,Lookups!C39,IF($J$20=Lookups!B31,Lookups!C46,IF($J$20=Lookups!C30,Lookups!C55,IF($J$20=Lookups!C31,Lookups!C62,IF($J$20=Lookups!C32,Lookups!C69,IF($J$20="Custom",Lookups!C78,"ERROR"))))))*IF(K25=0,1,(1-K25))</f>
        <v>5.3400000000000003E-2</v>
      </c>
      <c r="L30" s="279">
        <f>IF($J$20=Lookups!B30,Lookups!D39,IF($J$20=Lookups!B31,Lookups!D46,IF($J$20=Lookups!C30,Lookups!D55,IF($J$20=Lookups!C31,Lookups!D62,IF($J$20=Lookups!C32,Lookups!D69,IF($J$20="Custom",Lookups!D78,"ERROR"))))))*IF(L25=0,1,(1-L25))</f>
        <v>3.8899999999999997E-2</v>
      </c>
      <c r="M30" s="207"/>
      <c r="N30" s="4"/>
    </row>
    <row r="31" spans="1:14" s="64" customFormat="1" ht="12.75" customHeight="1" x14ac:dyDescent="0.25">
      <c r="A31" s="267" t="s">
        <v>211</v>
      </c>
      <c r="B31" s="146"/>
      <c r="C31" s="146"/>
      <c r="D31" s="245" t="s">
        <v>210</v>
      </c>
      <c r="E31" s="245" t="s">
        <v>209</v>
      </c>
      <c r="F31" s="146"/>
      <c r="G31" s="207"/>
      <c r="H31" s="206"/>
      <c r="I31" s="146"/>
      <c r="J31" s="146"/>
      <c r="K31" s="146"/>
      <c r="L31" s="146"/>
      <c r="M31" s="207"/>
      <c r="N31" s="4"/>
    </row>
    <row r="32" spans="1:14" s="64" customFormat="1" ht="12.75" customHeight="1" x14ac:dyDescent="0.25">
      <c r="A32" s="222" t="s">
        <v>207</v>
      </c>
      <c r="B32" s="142"/>
      <c r="C32" s="142"/>
      <c r="D32" s="268">
        <f>D27-E27</f>
        <v>-18100</v>
      </c>
      <c r="E32" s="269">
        <f>D32/$E$27</f>
        <v>-7.5605680868838759E-2</v>
      </c>
      <c r="F32" s="146"/>
      <c r="G32" s="207"/>
      <c r="H32" s="206"/>
      <c r="I32" s="146"/>
      <c r="J32" s="146"/>
      <c r="K32" s="146"/>
      <c r="L32" s="146"/>
      <c r="M32" s="207"/>
      <c r="N32" s="4"/>
    </row>
    <row r="33" spans="1:24" s="64" customFormat="1" ht="12.75" customHeight="1" x14ac:dyDescent="0.25">
      <c r="A33" s="222" t="s">
        <v>208</v>
      </c>
      <c r="B33" s="225"/>
      <c r="C33" s="225"/>
      <c r="D33" s="270">
        <f>D29-E29</f>
        <v>-18100</v>
      </c>
      <c r="E33" s="269">
        <f>D33/$E$27</f>
        <v>-7.5605680868838759E-2</v>
      </c>
      <c r="F33" s="146"/>
      <c r="G33" s="207"/>
      <c r="H33" s="206"/>
      <c r="I33" s="146"/>
      <c r="J33" s="146"/>
      <c r="K33" s="146"/>
      <c r="L33" s="146"/>
      <c r="M33" s="207"/>
      <c r="N33" s="4"/>
    </row>
    <row r="34" spans="1:24" s="64" customFormat="1" ht="12.75" customHeight="1" thickBot="1" x14ac:dyDescent="0.3">
      <c r="A34" s="221"/>
      <c r="B34" s="210"/>
      <c r="C34" s="210"/>
      <c r="D34" s="210"/>
      <c r="E34" s="210"/>
      <c r="F34" s="210"/>
      <c r="G34" s="211"/>
      <c r="H34" s="221"/>
      <c r="I34" s="210"/>
      <c r="J34" s="210"/>
      <c r="K34" s="210"/>
      <c r="L34" s="210"/>
      <c r="M34" s="211"/>
      <c r="N34" s="4"/>
    </row>
    <row r="35" spans="1:24" s="64" customFormat="1" ht="12.75" customHeight="1" x14ac:dyDescent="0.25">
      <c r="A35" s="289"/>
      <c r="B35" s="261"/>
      <c r="C35" s="204"/>
      <c r="D35" s="204"/>
      <c r="E35" s="204"/>
      <c r="F35" s="204"/>
      <c r="G35" s="204"/>
      <c r="H35" s="204"/>
      <c r="I35" s="215"/>
      <c r="J35" s="215"/>
      <c r="K35" s="215"/>
      <c r="L35" s="215"/>
      <c r="M35" s="216"/>
      <c r="N35" s="4"/>
      <c r="O35" s="146"/>
      <c r="P35" s="146"/>
      <c r="Q35" s="146"/>
      <c r="R35" s="146"/>
      <c r="S35" s="146"/>
      <c r="T35" s="146"/>
      <c r="U35" s="146"/>
      <c r="V35" s="146"/>
      <c r="W35" s="146"/>
      <c r="X35" s="146"/>
    </row>
    <row r="36" spans="1:24" s="64" customFormat="1" ht="12.75" customHeight="1" x14ac:dyDescent="0.25">
      <c r="A36" s="288" t="s">
        <v>174</v>
      </c>
      <c r="B36" s="146"/>
      <c r="C36" s="146"/>
      <c r="D36" s="146"/>
      <c r="E36" s="146"/>
      <c r="F36" s="146"/>
      <c r="G36" s="146"/>
      <c r="H36" s="146"/>
      <c r="I36" s="146"/>
      <c r="J36" s="146"/>
      <c r="K36" s="146"/>
      <c r="L36" s="146"/>
      <c r="M36" s="218"/>
      <c r="N36" s="4"/>
      <c r="O36" s="146"/>
      <c r="P36" s="146"/>
      <c r="Q36" s="146"/>
      <c r="R36" s="146"/>
      <c r="S36" s="146"/>
      <c r="T36" s="146"/>
      <c r="U36" s="146"/>
      <c r="V36" s="146"/>
      <c r="W36" s="146"/>
      <c r="X36" s="146"/>
    </row>
    <row r="37" spans="1:24" s="64" customFormat="1" ht="51" x14ac:dyDescent="0.25">
      <c r="A37" s="213"/>
      <c r="B37" s="146"/>
      <c r="C37" s="46" t="s">
        <v>246</v>
      </c>
      <c r="D37" s="46" t="s">
        <v>231</v>
      </c>
      <c r="E37" s="46" t="s">
        <v>232</v>
      </c>
      <c r="F37" s="44" t="s">
        <v>233</v>
      </c>
      <c r="G37" s="44" t="s">
        <v>235</v>
      </c>
      <c r="H37" s="45" t="s">
        <v>234</v>
      </c>
      <c r="I37" s="45" t="s">
        <v>236</v>
      </c>
      <c r="K37" s="34"/>
      <c r="L37" s="34"/>
      <c r="M37" s="218"/>
      <c r="N37" s="146"/>
      <c r="O37" s="146"/>
      <c r="P37" s="146"/>
      <c r="Q37" s="146"/>
      <c r="R37" s="146"/>
      <c r="S37" s="146"/>
      <c r="T37" s="146"/>
      <c r="U37" s="146"/>
      <c r="V37" s="146"/>
      <c r="W37" s="146"/>
      <c r="X37" s="146"/>
    </row>
    <row r="38" spans="1:24" s="64" customFormat="1" ht="12.75" customHeight="1" x14ac:dyDescent="0.25">
      <c r="A38" s="213"/>
      <c r="B38" s="237" t="s">
        <v>200</v>
      </c>
      <c r="C38" s="290">
        <f>E81</f>
        <v>4983.08</v>
      </c>
      <c r="D38" s="291">
        <v>0</v>
      </c>
      <c r="E38" s="291">
        <v>0</v>
      </c>
      <c r="F38" s="290">
        <f t="shared" ref="F38:G40" si="0">D38-$C38</f>
        <v>-4983.08</v>
      </c>
      <c r="G38" s="290">
        <f t="shared" si="0"/>
        <v>-4983.08</v>
      </c>
      <c r="H38" s="287"/>
      <c r="I38" s="287"/>
      <c r="K38" s="34"/>
      <c r="L38" s="34"/>
      <c r="M38" s="218"/>
      <c r="N38" s="146"/>
      <c r="O38" s="146"/>
      <c r="P38" s="146"/>
      <c r="Q38" s="146"/>
      <c r="R38" s="146"/>
      <c r="S38" s="146"/>
      <c r="T38" s="146"/>
      <c r="U38" s="146"/>
      <c r="V38" s="146"/>
      <c r="W38" s="146"/>
      <c r="X38" s="146"/>
    </row>
    <row r="39" spans="1:24" s="64" customFormat="1" ht="12.75" customHeight="1" x14ac:dyDescent="0.25">
      <c r="A39" s="213"/>
      <c r="B39" s="237" t="s">
        <v>239</v>
      </c>
      <c r="C39" s="255">
        <v>0</v>
      </c>
      <c r="D39" s="286">
        <f>R81</f>
        <v>10197.716187192405</v>
      </c>
      <c r="E39" s="286">
        <f>W81</f>
        <v>9593.8967294645408</v>
      </c>
      <c r="F39" s="255">
        <f t="shared" si="0"/>
        <v>10197.716187192405</v>
      </c>
      <c r="G39" s="255">
        <f t="shared" si="0"/>
        <v>9593.8967294645408</v>
      </c>
      <c r="H39" s="281">
        <f>D39/$C$38</f>
        <v>2.0464684867978047</v>
      </c>
      <c r="I39" s="281">
        <f>E39/$C$38</f>
        <v>1.9252945426251518</v>
      </c>
      <c r="K39" s="34"/>
      <c r="L39" s="34"/>
      <c r="M39" s="218"/>
      <c r="N39" s="146"/>
      <c r="O39" s="146"/>
      <c r="P39" s="146"/>
      <c r="Q39" s="146"/>
      <c r="R39" s="146"/>
      <c r="S39" s="146"/>
      <c r="T39" s="146"/>
      <c r="U39" s="146"/>
      <c r="V39" s="146"/>
      <c r="W39" s="146"/>
      <c r="X39" s="146"/>
    </row>
    <row r="40" spans="1:24" s="64" customFormat="1" ht="12.75" customHeight="1" thickBot="1" x14ac:dyDescent="0.3">
      <c r="A40" s="213"/>
      <c r="B40" s="237" t="s">
        <v>240</v>
      </c>
      <c r="C40" s="257">
        <f>G106</f>
        <v>50047.94999999999</v>
      </c>
      <c r="D40" s="257">
        <f>T106</f>
        <v>50047.94999999999</v>
      </c>
      <c r="E40" s="257">
        <f>Z106</f>
        <v>47158.123184568023</v>
      </c>
      <c r="F40" s="257">
        <f t="shared" si="0"/>
        <v>0</v>
      </c>
      <c r="G40" s="257">
        <f t="shared" si="0"/>
        <v>-2889.8268154319667</v>
      </c>
      <c r="H40" s="282">
        <f>F40/$C40</f>
        <v>0</v>
      </c>
      <c r="I40" s="282">
        <f>G40/$C40</f>
        <v>-5.7741162533769458E-2</v>
      </c>
      <c r="K40" s="34"/>
      <c r="L40" s="34"/>
      <c r="M40" s="218"/>
      <c r="N40" s="146"/>
      <c r="O40" s="146"/>
      <c r="P40" s="146"/>
      <c r="Q40" s="146"/>
      <c r="R40" s="146"/>
      <c r="S40" s="146"/>
      <c r="T40" s="146"/>
      <c r="U40" s="146"/>
      <c r="V40" s="146"/>
      <c r="W40" s="146"/>
      <c r="X40" s="146"/>
    </row>
    <row r="41" spans="1:24" s="64" customFormat="1" ht="12.75" customHeight="1" thickBot="1" x14ac:dyDescent="0.3">
      <c r="A41" s="230"/>
      <c r="B41" s="237" t="s">
        <v>241</v>
      </c>
      <c r="C41" s="292">
        <f>SUM(C39:C40)</f>
        <v>50047.94999999999</v>
      </c>
      <c r="D41" s="292">
        <f t="shared" ref="D41:G41" si="1">SUM(D39:D40)</f>
        <v>60245.666187192393</v>
      </c>
      <c r="E41" s="292">
        <f>SUM(E39:E40)</f>
        <v>56752.019914032564</v>
      </c>
      <c r="F41" s="292">
        <f t="shared" si="1"/>
        <v>10197.716187192405</v>
      </c>
      <c r="G41" s="292">
        <f t="shared" si="1"/>
        <v>6704.0699140325742</v>
      </c>
      <c r="H41" s="293"/>
      <c r="I41" s="293"/>
      <c r="K41" s="231"/>
      <c r="L41" s="231"/>
      <c r="M41" s="219"/>
      <c r="N41" s="146"/>
      <c r="O41" s="146"/>
      <c r="P41" s="146"/>
      <c r="Q41" s="146"/>
      <c r="R41" s="146"/>
      <c r="S41" s="146"/>
      <c r="T41" s="146"/>
      <c r="U41" s="146"/>
      <c r="V41" s="146"/>
      <c r="W41" s="146"/>
      <c r="X41" s="146"/>
    </row>
    <row r="42" spans="1:24" s="64" customFormat="1" ht="12.75" customHeight="1" x14ac:dyDescent="0.25">
      <c r="A42" s="206"/>
      <c r="B42" s="237" t="s">
        <v>242</v>
      </c>
      <c r="C42" s="256">
        <f>SUM(C38+C41)</f>
        <v>55031.029999999992</v>
      </c>
      <c r="D42" s="256">
        <f t="shared" ref="D42:E42" si="2">SUM(D38+D41)</f>
        <v>60245.666187192393</v>
      </c>
      <c r="E42" s="256">
        <f t="shared" si="2"/>
        <v>56752.019914032564</v>
      </c>
      <c r="F42" s="258">
        <f>SUM(F41+F38)</f>
        <v>5214.6361871924055</v>
      </c>
      <c r="G42" s="258">
        <f>SUM(G41+G38)</f>
        <v>1720.9899140325742</v>
      </c>
      <c r="H42" s="287">
        <f>F42/$C42</f>
        <v>9.4758106239196435E-2</v>
      </c>
      <c r="I42" s="287">
        <f>G42/$C42</f>
        <v>3.1273082005417209E-2</v>
      </c>
      <c r="K42" s="146"/>
      <c r="L42" s="146"/>
      <c r="M42" s="207"/>
      <c r="N42" s="146"/>
      <c r="O42" s="146"/>
      <c r="P42" s="146"/>
      <c r="Q42" s="146"/>
      <c r="R42" s="146"/>
      <c r="S42" s="146"/>
      <c r="T42" s="146"/>
      <c r="U42" s="146"/>
      <c r="V42" s="146"/>
      <c r="W42" s="146"/>
      <c r="X42" s="146"/>
    </row>
    <row r="43" spans="1:24" s="64" customFormat="1" ht="12.75" customHeight="1" thickBot="1" x14ac:dyDescent="0.3">
      <c r="A43" s="206"/>
      <c r="B43" s="146"/>
      <c r="C43" s="146"/>
      <c r="D43" s="146"/>
      <c r="E43" s="146"/>
      <c r="F43" s="146"/>
      <c r="G43" s="146"/>
      <c r="H43" s="146"/>
      <c r="I43" s="146"/>
      <c r="K43" s="146"/>
      <c r="L43" s="146"/>
      <c r="M43" s="207"/>
      <c r="N43" s="146"/>
      <c r="O43" s="146"/>
      <c r="P43" s="146"/>
      <c r="Q43" s="146"/>
      <c r="R43" s="146"/>
      <c r="S43" s="146"/>
      <c r="T43" s="146"/>
      <c r="U43" s="146"/>
      <c r="V43" s="146"/>
      <c r="W43" s="146"/>
      <c r="X43" s="146"/>
    </row>
    <row r="44" spans="1:24" s="64" customFormat="1" ht="12.75" customHeight="1" thickBot="1" x14ac:dyDescent="0.3">
      <c r="A44" s="206"/>
      <c r="B44" s="146"/>
      <c r="C44" s="146"/>
      <c r="D44" s="146" t="s">
        <v>143</v>
      </c>
      <c r="E44" s="105"/>
      <c r="F44" s="107" t="str">
        <f>IF(F42&gt;=0,"NA",IF($D$33&lt;0,"NA",$D$33/-F42))</f>
        <v>NA</v>
      </c>
      <c r="G44" s="107" t="str">
        <f>IF(G42&gt;=0,"NA",IF($D$33&lt;0,"NA",$D$33/-G42))</f>
        <v>NA</v>
      </c>
      <c r="H44" s="146" t="s">
        <v>243</v>
      </c>
      <c r="I44" s="146"/>
      <c r="K44" s="146"/>
      <c r="L44" s="146"/>
      <c r="M44" s="207"/>
      <c r="N44" s="146"/>
      <c r="O44" s="146"/>
      <c r="P44" s="146"/>
      <c r="Q44" s="146"/>
      <c r="R44" s="146"/>
      <c r="S44" s="146"/>
      <c r="T44" s="146"/>
      <c r="U44" s="146"/>
      <c r="V44" s="146"/>
      <c r="W44" s="146"/>
      <c r="X44" s="146"/>
    </row>
    <row r="45" spans="1:24" s="64" customFormat="1" ht="12.75" customHeight="1" x14ac:dyDescent="0.25">
      <c r="A45" s="212" t="s">
        <v>173</v>
      </c>
      <c r="B45" s="146"/>
      <c r="C45" s="146"/>
      <c r="D45" s="146"/>
      <c r="E45" s="146"/>
      <c r="F45" s="146"/>
      <c r="G45" s="146"/>
      <c r="H45" s="146"/>
      <c r="I45" s="146"/>
      <c r="K45" s="146"/>
      <c r="L45" s="146"/>
      <c r="M45" s="207"/>
      <c r="N45" s="146"/>
      <c r="O45" s="146"/>
      <c r="P45" s="146"/>
      <c r="Q45" s="146"/>
      <c r="R45" s="146"/>
      <c r="S45" s="146"/>
      <c r="T45" s="146"/>
      <c r="U45" s="146"/>
      <c r="V45" s="146"/>
      <c r="W45" s="146"/>
      <c r="X45" s="146"/>
    </row>
    <row r="46" spans="1:24" s="64" customFormat="1" ht="51" x14ac:dyDescent="0.25">
      <c r="A46" s="206"/>
      <c r="B46" s="146"/>
      <c r="C46" s="46" t="s">
        <v>246</v>
      </c>
      <c r="D46" s="46" t="str">
        <f>D37</f>
        <v>HP - Current Elec Rate</v>
      </c>
      <c r="E46" s="46" t="str">
        <f>E37</f>
        <v>HP - New Elec Rate</v>
      </c>
      <c r="F46" s="44" t="s">
        <v>233</v>
      </c>
      <c r="G46" s="44" t="s">
        <v>235</v>
      </c>
      <c r="H46" s="45" t="s">
        <v>234</v>
      </c>
      <c r="I46" s="45" t="s">
        <v>236</v>
      </c>
      <c r="K46" s="146"/>
      <c r="L46" s="146"/>
      <c r="M46" s="207"/>
      <c r="N46" s="146"/>
      <c r="O46" s="146"/>
      <c r="P46" s="146"/>
      <c r="Q46" s="146"/>
      <c r="R46" s="146"/>
      <c r="S46" s="146"/>
      <c r="T46" s="146"/>
      <c r="U46" s="146"/>
      <c r="V46" s="146"/>
      <c r="W46" s="146"/>
      <c r="X46" s="146"/>
    </row>
    <row r="47" spans="1:24" s="64" customFormat="1" ht="12.75" customHeight="1" x14ac:dyDescent="0.25">
      <c r="A47" s="206"/>
      <c r="B47" s="295" t="s">
        <v>245</v>
      </c>
      <c r="C47" s="255">
        <f>'Net Present Costs'!C25</f>
        <v>764765.38574338797</v>
      </c>
      <c r="D47" s="255">
        <f>'Net Present Costs'!C46</f>
        <v>799383.44458610762</v>
      </c>
      <c r="E47" s="255">
        <f>'Net Present Costs'!C67</f>
        <v>765860.38476171484</v>
      </c>
      <c r="F47" s="258">
        <f>D47-$C47</f>
        <v>34618.058842719649</v>
      </c>
      <c r="G47" s="258">
        <f>E47-$C47</f>
        <v>1094.9990183268674</v>
      </c>
      <c r="H47" s="276">
        <f>F47/$C47</f>
        <v>4.5266246992951002E-2</v>
      </c>
      <c r="I47" s="276">
        <f>G47/$C47</f>
        <v>1.4318103809869438E-3</v>
      </c>
      <c r="K47" s="146"/>
      <c r="L47" s="146"/>
      <c r="M47" s="207"/>
      <c r="N47" s="146"/>
      <c r="O47" s="146"/>
      <c r="P47" s="146"/>
      <c r="Q47" s="146"/>
      <c r="R47" s="146"/>
      <c r="S47" s="146"/>
      <c r="T47" s="146"/>
      <c r="U47" s="146"/>
      <c r="V47" s="146"/>
      <c r="W47" s="146"/>
      <c r="X47" s="146"/>
    </row>
    <row r="48" spans="1:24" s="64" customFormat="1" ht="12.75" customHeight="1" x14ac:dyDescent="0.25">
      <c r="A48" s="206"/>
      <c r="B48" s="146"/>
      <c r="C48" s="146"/>
      <c r="D48" s="146"/>
      <c r="E48" s="146"/>
      <c r="F48" s="146"/>
      <c r="G48" s="146"/>
      <c r="H48" s="146"/>
      <c r="I48" s="146"/>
      <c r="J48" s="34"/>
      <c r="K48" s="146"/>
      <c r="L48" s="146"/>
      <c r="M48" s="207"/>
      <c r="N48" s="146"/>
      <c r="O48" s="146"/>
      <c r="P48" s="146"/>
      <c r="Q48" s="146"/>
      <c r="R48" s="146"/>
      <c r="S48" s="146"/>
      <c r="T48" s="146"/>
      <c r="U48" s="146"/>
      <c r="V48" s="146"/>
      <c r="W48" s="146"/>
      <c r="X48" s="146"/>
    </row>
    <row r="49" spans="1:24" s="64" customFormat="1" ht="12.75" customHeight="1" x14ac:dyDescent="0.25">
      <c r="A49" s="206"/>
      <c r="B49" s="146"/>
      <c r="C49" s="146"/>
      <c r="D49" s="146"/>
      <c r="E49" s="146"/>
      <c r="F49" s="146"/>
      <c r="G49" s="146"/>
      <c r="H49" s="146"/>
      <c r="I49" s="146"/>
      <c r="J49" s="146"/>
      <c r="K49" s="146"/>
      <c r="L49" s="146"/>
      <c r="M49" s="207"/>
      <c r="N49" s="146"/>
      <c r="O49" s="146"/>
      <c r="P49" s="146"/>
      <c r="Q49" s="146"/>
      <c r="R49" s="146"/>
      <c r="S49" s="146"/>
      <c r="T49" s="146"/>
      <c r="U49" s="146"/>
      <c r="V49" s="146"/>
      <c r="W49" s="146"/>
      <c r="X49" s="146"/>
    </row>
    <row r="50" spans="1:24" s="64" customFormat="1" ht="12.75" customHeight="1" x14ac:dyDescent="0.25">
      <c r="A50" s="206"/>
      <c r="B50" s="146"/>
      <c r="C50" s="146"/>
      <c r="D50" s="146"/>
      <c r="E50" s="146"/>
      <c r="F50" s="146"/>
      <c r="G50" s="146"/>
      <c r="H50" s="146"/>
      <c r="I50" s="146"/>
      <c r="J50" s="146"/>
      <c r="K50" s="146"/>
      <c r="L50" s="146"/>
      <c r="M50" s="207"/>
      <c r="N50" s="146"/>
      <c r="O50" s="146"/>
      <c r="P50" s="146"/>
      <c r="Q50" s="146"/>
      <c r="R50" s="146"/>
      <c r="S50" s="146"/>
      <c r="T50" s="146"/>
      <c r="U50" s="146"/>
      <c r="V50" s="146"/>
      <c r="W50" s="146"/>
      <c r="X50" s="146"/>
    </row>
    <row r="51" spans="1:24" s="64" customFormat="1" ht="12.75" customHeight="1" x14ac:dyDescent="0.25">
      <c r="A51" s="206"/>
      <c r="B51" s="146"/>
      <c r="C51" s="146"/>
      <c r="D51" s="146"/>
      <c r="E51" s="146"/>
      <c r="F51" s="146"/>
      <c r="G51" s="146"/>
      <c r="H51" s="146"/>
      <c r="I51" s="146"/>
      <c r="J51" s="146"/>
      <c r="K51" s="146"/>
      <c r="L51" s="146"/>
      <c r="M51" s="207"/>
      <c r="N51" s="146"/>
      <c r="O51" s="146"/>
      <c r="P51" s="146"/>
      <c r="Q51" s="146"/>
      <c r="R51" s="146"/>
      <c r="S51" s="146"/>
      <c r="T51" s="146"/>
      <c r="U51" s="146"/>
      <c r="V51" s="146"/>
      <c r="W51" s="146"/>
      <c r="X51" s="146"/>
    </row>
    <row r="52" spans="1:24" s="64" customFormat="1" ht="12.75" customHeight="1" x14ac:dyDescent="0.25">
      <c r="A52" s="206"/>
      <c r="B52" s="146"/>
      <c r="C52" s="146"/>
      <c r="D52" s="146"/>
      <c r="E52" s="146"/>
      <c r="F52" s="146"/>
      <c r="G52" s="146"/>
      <c r="H52" s="146"/>
      <c r="I52" s="146"/>
      <c r="J52" s="146"/>
      <c r="K52" s="146"/>
      <c r="L52" s="146"/>
      <c r="M52" s="207"/>
      <c r="N52" s="146"/>
      <c r="O52" s="146"/>
      <c r="P52" s="146"/>
      <c r="Q52" s="146"/>
      <c r="R52" s="146"/>
      <c r="S52" s="146"/>
      <c r="T52" s="146"/>
      <c r="U52" s="146"/>
      <c r="V52" s="146"/>
      <c r="W52" s="146"/>
      <c r="X52" s="146"/>
    </row>
    <row r="53" spans="1:24" s="64" customFormat="1" ht="12.75" customHeight="1" x14ac:dyDescent="0.25">
      <c r="A53" s="206"/>
      <c r="B53" s="146"/>
      <c r="C53" s="146"/>
      <c r="D53" s="146"/>
      <c r="E53" s="146"/>
      <c r="F53" s="146"/>
      <c r="G53" s="146"/>
      <c r="H53" s="146"/>
      <c r="I53" s="146"/>
      <c r="J53" s="146"/>
      <c r="K53" s="146"/>
      <c r="L53" s="146"/>
      <c r="M53" s="207"/>
      <c r="N53" s="146"/>
      <c r="O53" s="146"/>
      <c r="P53" s="146"/>
      <c r="Q53" s="146"/>
      <c r="R53" s="146"/>
      <c r="S53" s="146"/>
      <c r="T53" s="146"/>
      <c r="U53" s="146"/>
      <c r="V53" s="146"/>
      <c r="W53" s="146"/>
      <c r="X53" s="146"/>
    </row>
    <row r="54" spans="1:24" s="64" customFormat="1" ht="12.75" customHeight="1" x14ac:dyDescent="0.25">
      <c r="A54" s="206"/>
      <c r="B54" s="146"/>
      <c r="C54" s="146"/>
      <c r="D54" s="146"/>
      <c r="E54" s="146"/>
      <c r="F54" s="146"/>
      <c r="G54" s="146"/>
      <c r="H54" s="146"/>
      <c r="I54" s="146"/>
      <c r="J54" s="146"/>
      <c r="K54" s="146"/>
      <c r="L54" s="146"/>
      <c r="M54" s="207"/>
      <c r="N54" s="146"/>
      <c r="O54" s="146"/>
      <c r="P54" s="146"/>
      <c r="Q54" s="146"/>
      <c r="R54" s="146"/>
      <c r="S54" s="146"/>
      <c r="T54" s="146"/>
      <c r="U54" s="146"/>
      <c r="V54" s="146"/>
      <c r="W54" s="146"/>
      <c r="X54" s="146"/>
    </row>
    <row r="55" spans="1:24" s="64" customFormat="1" ht="12.75" customHeight="1" x14ac:dyDescent="0.25">
      <c r="A55" s="206"/>
      <c r="B55" s="146"/>
      <c r="C55" s="146"/>
      <c r="D55" s="146"/>
      <c r="E55" s="146"/>
      <c r="F55" s="146"/>
      <c r="G55" s="146"/>
      <c r="H55" s="146"/>
      <c r="I55" s="146"/>
      <c r="J55" s="146"/>
      <c r="K55" s="146"/>
      <c r="L55" s="146"/>
      <c r="M55" s="207"/>
      <c r="N55" s="146"/>
      <c r="O55" s="146"/>
      <c r="P55" s="146"/>
      <c r="Q55" s="146"/>
      <c r="R55" s="146"/>
      <c r="S55" s="146"/>
      <c r="T55" s="146"/>
      <c r="U55" s="146"/>
      <c r="V55" s="146"/>
      <c r="W55" s="146"/>
      <c r="X55" s="146"/>
    </row>
    <row r="56" spans="1:24" s="64" customFormat="1" ht="12.75" customHeight="1" x14ac:dyDescent="0.25">
      <c r="A56" s="206"/>
      <c r="B56" s="146"/>
      <c r="C56" s="146"/>
      <c r="D56" s="146"/>
      <c r="E56" s="146"/>
      <c r="F56" s="146"/>
      <c r="G56" s="146"/>
      <c r="H56" s="146"/>
      <c r="I56" s="146"/>
      <c r="J56" s="146"/>
      <c r="K56" s="146"/>
      <c r="L56" s="146"/>
      <c r="M56" s="207"/>
      <c r="N56" s="146"/>
      <c r="O56" s="146"/>
      <c r="P56" s="146"/>
      <c r="Q56" s="146"/>
      <c r="R56" s="146"/>
      <c r="S56" s="146"/>
      <c r="T56" s="146"/>
      <c r="U56" s="146"/>
      <c r="V56" s="146"/>
      <c r="W56" s="146"/>
      <c r="X56" s="146"/>
    </row>
    <row r="57" spans="1:24" s="64" customFormat="1" ht="12.75" customHeight="1" x14ac:dyDescent="0.25">
      <c r="A57" s="206"/>
      <c r="B57" s="146"/>
      <c r="C57" s="146"/>
      <c r="D57" s="146"/>
      <c r="E57" s="146"/>
      <c r="F57" s="146"/>
      <c r="G57" s="146"/>
      <c r="H57" s="146"/>
      <c r="I57" s="146"/>
      <c r="J57" s="146"/>
      <c r="K57" s="146"/>
      <c r="L57" s="146"/>
      <c r="M57" s="207"/>
      <c r="N57" s="146"/>
      <c r="O57" s="146"/>
      <c r="P57" s="146"/>
      <c r="Q57" s="146"/>
      <c r="R57" s="146"/>
      <c r="S57" s="146"/>
      <c r="T57" s="146"/>
      <c r="U57" s="146"/>
      <c r="V57" s="146"/>
      <c r="W57" s="146"/>
      <c r="X57" s="146"/>
    </row>
    <row r="58" spans="1:24" s="64" customFormat="1" ht="12.75" customHeight="1" x14ac:dyDescent="0.25">
      <c r="A58" s="206"/>
      <c r="B58" s="146"/>
      <c r="C58" s="146"/>
      <c r="D58" s="146"/>
      <c r="E58" s="146"/>
      <c r="F58" s="146"/>
      <c r="G58" s="146"/>
      <c r="H58" s="146"/>
      <c r="I58" s="146"/>
      <c r="J58" s="146"/>
      <c r="K58" s="146"/>
      <c r="L58" s="146"/>
      <c r="M58" s="207"/>
      <c r="N58" s="146"/>
      <c r="O58" s="146"/>
      <c r="P58" s="146"/>
      <c r="Q58" s="146"/>
      <c r="R58" s="146"/>
      <c r="S58" s="146"/>
      <c r="T58" s="146"/>
      <c r="U58" s="146"/>
      <c r="V58" s="146"/>
      <c r="W58" s="146"/>
      <c r="X58" s="146"/>
    </row>
    <row r="59" spans="1:24" s="64" customFormat="1" ht="12.75" customHeight="1" x14ac:dyDescent="0.25">
      <c r="A59" s="206"/>
      <c r="B59" s="146"/>
      <c r="C59" s="146"/>
      <c r="D59" s="146"/>
      <c r="E59" s="146"/>
      <c r="F59" s="146"/>
      <c r="G59" s="146"/>
      <c r="H59" s="146"/>
      <c r="I59" s="146"/>
      <c r="J59" s="146"/>
      <c r="K59" s="146"/>
      <c r="L59" s="146"/>
      <c r="M59" s="207"/>
      <c r="N59" s="146"/>
      <c r="O59" s="146"/>
      <c r="P59" s="146"/>
      <c r="Q59" s="146"/>
      <c r="R59" s="146"/>
      <c r="S59" s="146"/>
      <c r="T59" s="146"/>
      <c r="U59" s="146"/>
      <c r="V59" s="146"/>
      <c r="W59" s="146"/>
      <c r="X59" s="146"/>
    </row>
    <row r="60" spans="1:24" s="64" customFormat="1" ht="12.75" customHeight="1" x14ac:dyDescent="0.25">
      <c r="A60" s="206"/>
      <c r="B60" s="146"/>
      <c r="C60" s="146"/>
      <c r="D60" s="146"/>
      <c r="E60" s="146"/>
      <c r="F60" s="146"/>
      <c r="G60" s="146"/>
      <c r="H60" s="146"/>
      <c r="I60" s="146"/>
      <c r="J60" s="146"/>
      <c r="K60" s="146"/>
      <c r="L60" s="146"/>
      <c r="M60" s="207"/>
      <c r="N60" s="146"/>
      <c r="O60" s="146"/>
      <c r="P60" s="146"/>
      <c r="Q60" s="146"/>
      <c r="R60" s="146"/>
      <c r="S60" s="146"/>
      <c r="T60" s="146"/>
      <c r="U60" s="146"/>
      <c r="V60" s="146"/>
      <c r="W60" s="146"/>
      <c r="X60" s="146"/>
    </row>
    <row r="61" spans="1:24" s="64" customFormat="1" ht="12.75" customHeight="1" x14ac:dyDescent="0.25">
      <c r="A61" s="206"/>
      <c r="B61" s="146"/>
      <c r="C61" s="146"/>
      <c r="D61" s="146"/>
      <c r="E61" s="146"/>
      <c r="F61" s="146"/>
      <c r="G61" s="146"/>
      <c r="H61" s="146"/>
      <c r="I61" s="146"/>
      <c r="J61" s="146"/>
      <c r="K61" s="146"/>
      <c r="L61" s="146"/>
      <c r="M61" s="207"/>
      <c r="N61" s="146"/>
      <c r="O61" s="146"/>
      <c r="P61" s="146"/>
      <c r="Q61" s="146"/>
      <c r="R61" s="146"/>
      <c r="S61" s="146"/>
      <c r="T61" s="146"/>
      <c r="U61" s="146"/>
      <c r="V61" s="146"/>
      <c r="W61" s="146"/>
      <c r="X61" s="146"/>
    </row>
    <row r="62" spans="1:24" s="64" customFormat="1" ht="12.75" customHeight="1" x14ac:dyDescent="0.25">
      <c r="A62" s="206"/>
      <c r="B62" s="146"/>
      <c r="C62" s="146"/>
      <c r="D62" s="146"/>
      <c r="E62" s="146"/>
      <c r="F62" s="146"/>
      <c r="G62" s="146"/>
      <c r="H62" s="146"/>
      <c r="I62" s="146"/>
      <c r="J62" s="146"/>
      <c r="K62" s="146"/>
      <c r="L62" s="146"/>
      <c r="M62" s="207"/>
      <c r="N62" s="146"/>
      <c r="O62" s="146"/>
      <c r="P62" s="146"/>
      <c r="Q62" s="146"/>
      <c r="R62" s="146"/>
      <c r="S62" s="146"/>
      <c r="T62" s="146"/>
      <c r="U62" s="146"/>
      <c r="V62" s="146"/>
      <c r="W62" s="146"/>
      <c r="X62" s="146"/>
    </row>
    <row r="63" spans="1:24" s="64" customFormat="1" ht="12.75" customHeight="1" x14ac:dyDescent="0.25">
      <c r="A63" s="206"/>
      <c r="B63" s="146"/>
      <c r="C63" s="146"/>
      <c r="D63" s="146"/>
      <c r="E63" s="146"/>
      <c r="F63" s="146"/>
      <c r="G63" s="146"/>
      <c r="H63" s="146"/>
      <c r="I63" s="146"/>
      <c r="J63" s="146"/>
      <c r="K63" s="146"/>
      <c r="L63" s="146"/>
      <c r="M63" s="207"/>
      <c r="N63" s="146"/>
      <c r="O63" s="146"/>
      <c r="P63" s="146"/>
      <c r="Q63" s="146"/>
      <c r="R63" s="146"/>
      <c r="S63" s="146"/>
      <c r="T63" s="146"/>
      <c r="U63" s="146"/>
      <c r="V63" s="146"/>
      <c r="W63" s="146"/>
      <c r="X63" s="146"/>
    </row>
    <row r="64" spans="1:24" s="64" customFormat="1" ht="12.75" customHeight="1" thickBot="1" x14ac:dyDescent="0.3">
      <c r="A64" s="221"/>
      <c r="B64" s="210"/>
      <c r="C64" s="210"/>
      <c r="D64" s="210"/>
      <c r="E64" s="210"/>
      <c r="F64" s="210"/>
      <c r="G64" s="210"/>
      <c r="H64" s="210"/>
      <c r="I64" s="210"/>
      <c r="J64" s="210"/>
      <c r="K64" s="210"/>
      <c r="L64" s="210"/>
      <c r="M64" s="211"/>
      <c r="N64" s="146"/>
      <c r="O64" s="146"/>
      <c r="P64" s="146"/>
      <c r="Q64" s="146"/>
      <c r="R64" s="146"/>
      <c r="S64" s="146"/>
      <c r="T64" s="146"/>
      <c r="U64" s="146"/>
      <c r="V64" s="146"/>
      <c r="W64" s="146"/>
      <c r="X64" s="146"/>
    </row>
    <row r="65" spans="1:27" s="64" customFormat="1" ht="12.75" customHeight="1" x14ac:dyDescent="0.25">
      <c r="A65" s="214" t="s">
        <v>133</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5"/>
    </row>
    <row r="66" spans="1:27" ht="15" x14ac:dyDescent="0.25">
      <c r="A66" s="230"/>
      <c r="B66" s="231"/>
      <c r="C66" s="231"/>
      <c r="D66" s="231"/>
      <c r="E66" s="231"/>
      <c r="F66" s="231"/>
      <c r="G66" s="231"/>
      <c r="H66" s="231"/>
      <c r="I66" s="231"/>
      <c r="J66" s="231"/>
      <c r="K66" s="231"/>
      <c r="L66" s="231"/>
      <c r="M66" s="231"/>
      <c r="N66" s="231"/>
      <c r="O66" s="231"/>
      <c r="P66" s="208" t="s">
        <v>229</v>
      </c>
      <c r="Q66" s="231"/>
      <c r="R66" s="231"/>
      <c r="S66" s="231"/>
      <c r="T66" s="231"/>
      <c r="U66" s="208" t="s">
        <v>230</v>
      </c>
      <c r="V66" s="231"/>
      <c r="W66" s="231"/>
      <c r="X66" s="231"/>
      <c r="Y66" s="231"/>
      <c r="Z66" s="231"/>
      <c r="AA66" s="219"/>
    </row>
    <row r="67" spans="1:27" s="61" customFormat="1" ht="76.5" x14ac:dyDescent="0.25">
      <c r="A67" s="232" t="s">
        <v>5</v>
      </c>
      <c r="B67" s="46" t="s">
        <v>6</v>
      </c>
      <c r="C67" s="46" t="s">
        <v>5</v>
      </c>
      <c r="D67" s="46" t="s">
        <v>118</v>
      </c>
      <c r="E67" s="46" t="s">
        <v>119</v>
      </c>
      <c r="F67" s="46" t="s">
        <v>78</v>
      </c>
      <c r="G67" s="46" t="s">
        <v>117</v>
      </c>
      <c r="H67" s="46" t="s">
        <v>147</v>
      </c>
      <c r="I67" s="10" t="s">
        <v>120</v>
      </c>
      <c r="J67" s="10" t="s">
        <v>128</v>
      </c>
      <c r="K67" s="10" t="s">
        <v>121</v>
      </c>
      <c r="L67" s="44" t="s">
        <v>122</v>
      </c>
      <c r="M67" s="44" t="s">
        <v>44</v>
      </c>
      <c r="N67" s="44" t="s">
        <v>95</v>
      </c>
      <c r="O67" s="44" t="s">
        <v>60</v>
      </c>
      <c r="P67" s="26" t="s">
        <v>197</v>
      </c>
      <c r="Q67" s="26" t="s">
        <v>198</v>
      </c>
      <c r="R67" s="26" t="s">
        <v>222</v>
      </c>
      <c r="S67" s="26" t="s">
        <v>223</v>
      </c>
      <c r="T67" s="45" t="s">
        <v>123</v>
      </c>
      <c r="U67" s="26" t="s">
        <v>197</v>
      </c>
      <c r="V67" s="26" t="s">
        <v>198</v>
      </c>
      <c r="W67" s="26" t="s">
        <v>222</v>
      </c>
      <c r="X67" s="26" t="s">
        <v>223</v>
      </c>
      <c r="Y67" s="45" t="s">
        <v>123</v>
      </c>
      <c r="Z67" s="238"/>
      <c r="AA67" s="233"/>
    </row>
    <row r="68" spans="1:27" s="61" customFormat="1" ht="12.75" customHeight="1" x14ac:dyDescent="0.25">
      <c r="A68" s="232" t="s">
        <v>7</v>
      </c>
      <c r="B68" s="53" t="s">
        <v>10</v>
      </c>
      <c r="C68" s="54" t="s">
        <v>7</v>
      </c>
      <c r="D68" s="12">
        <v>1363</v>
      </c>
      <c r="E68" s="275">
        <v>895.28</v>
      </c>
      <c r="F68" s="78">
        <f t="shared" ref="F68:F79" si="3">E68/D68</f>
        <v>0.65684519442406453</v>
      </c>
      <c r="G68" s="79">
        <f t="shared" ref="G68:G79" si="4">D68*100</f>
        <v>136300</v>
      </c>
      <c r="H68" s="130">
        <f>IF($C$12=Lookups!$E$14,Lookups!E15,IF($C$12=Lookups!$D$14,Lookups!D15,IF($C$12=Lookups!$F$14,Lookups!F15,"ERROR")))</f>
        <v>2.2999999999999998</v>
      </c>
      <c r="I68" s="81">
        <f>D68*29.3001/(H68-$C$11)</f>
        <v>26624.024200000003</v>
      </c>
      <c r="J68" s="81">
        <f>I68*3.412</f>
        <v>90841.170570400005</v>
      </c>
      <c r="K68" s="80">
        <v>0.45</v>
      </c>
      <c r="L68" s="82">
        <f>'Demand Data'!C15</f>
        <v>0.44788730361388351</v>
      </c>
      <c r="M68" s="83">
        <f t="shared" ref="M68:M79" si="5">I68/(L68*30*24)</f>
        <v>82.56052603082243</v>
      </c>
      <c r="N68" s="80">
        <v>0.6</v>
      </c>
      <c r="O68" s="83">
        <f t="shared" ref="O68:O79" si="6">M68*N68</f>
        <v>49.536315618493454</v>
      </c>
      <c r="P68" s="84">
        <f t="shared" ref="P68:P79" si="7">IF(C68=$I$13,$K$13*I68,IF(C68=$I$14,$K$14*I68,"ERROR"))*K68+IF(C68=$I$13,$L$13*I68,IF(C68=$I$14,$L$14*(I68),"ERROR"))*(1-K68)</f>
        <v>1211.3931011000004</v>
      </c>
      <c r="Q68" s="84">
        <f t="shared" ref="Q68:Q79" si="8">IF(C68=$I$13,$J$13*O68,IF(C68=$I$14,$J$14*O68,"ERROR"))</f>
        <v>1016.4851964914857</v>
      </c>
      <c r="R68" s="85">
        <f t="shared" ref="R68:R79" si="9">SUM(P68:Q68)</f>
        <v>2227.878297591486</v>
      </c>
      <c r="S68" s="84">
        <f t="shared" ref="S68:S79" si="10">R68-E68</f>
        <v>1332.598297591486</v>
      </c>
      <c r="T68" s="60">
        <f t="shared" ref="T68:T79" si="11">S68/E68</f>
        <v>1.4884709784553281</v>
      </c>
      <c r="U68" s="84">
        <f t="shared" ref="U68:U79" si="12">IF(C68=$I$29,$K$29*I68,IF(C68=$I$30,$K$30*I68,"ERROR"))*K68+IF(C68=$I$29,$L$29*I68,IF(C68=$I$30,$L$30*(I68),"ERROR"))*(1-K68)</f>
        <v>1209.3962992850002</v>
      </c>
      <c r="V68" s="84">
        <f t="shared" ref="V68:V79" si="13">IF(C68=$I$29,$J$29*O68,IF(C68=$I$30,$J$30*O68,"ERROR"))</f>
        <v>908.49602844316996</v>
      </c>
      <c r="W68" s="85">
        <f>SUM(U68:V68)</f>
        <v>2117.8923277281701</v>
      </c>
      <c r="X68" s="84">
        <f t="shared" ref="X68:X79" si="14">W68-E68</f>
        <v>1222.6123277281702</v>
      </c>
      <c r="Y68" s="60">
        <f t="shared" ref="Y68:Y79" si="15">X68/E68</f>
        <v>1.3656200604594877</v>
      </c>
      <c r="Z68" s="238"/>
      <c r="AA68" s="233"/>
    </row>
    <row r="69" spans="1:27" s="61" customFormat="1" ht="12.75" customHeight="1" x14ac:dyDescent="0.25">
      <c r="A69" s="232" t="s">
        <v>7</v>
      </c>
      <c r="B69" s="62" t="s">
        <v>11</v>
      </c>
      <c r="C69" s="54" t="s">
        <v>7</v>
      </c>
      <c r="D69" s="12">
        <v>859</v>
      </c>
      <c r="E69" s="275">
        <v>580.19000000000005</v>
      </c>
      <c r="F69" s="78">
        <f t="shared" si="3"/>
        <v>0.67542491268917348</v>
      </c>
      <c r="G69" s="79">
        <f t="shared" si="4"/>
        <v>85900</v>
      </c>
      <c r="H69" s="130">
        <f>IF($C$12=Lookups!$E$14,Lookups!E16,IF($C$12=Lookups!$D$14,Lookups!D16,IF($C$12=Lookups!$F$14,Lookups!F16,"ERROR")))</f>
        <v>2.4299999999999997</v>
      </c>
      <c r="I69" s="81">
        <f t="shared" ref="I69:I79" si="16">D69*29.3001/(H69-$C$11)</f>
        <v>15440.972944785279</v>
      </c>
      <c r="J69" s="81">
        <f t="shared" ref="J69:J79" si="17">I69*3.412</f>
        <v>52684.59968760737</v>
      </c>
      <c r="K69" s="80">
        <v>0.35</v>
      </c>
      <c r="L69" s="82">
        <f>'Demand Data'!C16</f>
        <v>0.45237169092518864</v>
      </c>
      <c r="M69" s="86">
        <f t="shared" si="5"/>
        <v>47.407466441556878</v>
      </c>
      <c r="N69" s="80">
        <v>0.5</v>
      </c>
      <c r="O69" s="83">
        <f t="shared" si="6"/>
        <v>23.703733220778439</v>
      </c>
      <c r="P69" s="84">
        <f t="shared" si="7"/>
        <v>702.5642689877302</v>
      </c>
      <c r="Q69" s="84">
        <f t="shared" si="8"/>
        <v>486.40060569037354</v>
      </c>
      <c r="R69" s="87">
        <f t="shared" si="9"/>
        <v>1188.9648746781038</v>
      </c>
      <c r="S69" s="84">
        <f t="shared" si="10"/>
        <v>608.77487467810374</v>
      </c>
      <c r="T69" s="60">
        <f t="shared" si="11"/>
        <v>1.0492681271274991</v>
      </c>
      <c r="U69" s="84">
        <f t="shared" si="12"/>
        <v>679.01678524693261</v>
      </c>
      <c r="V69" s="84">
        <f t="shared" si="13"/>
        <v>434.72646726907658</v>
      </c>
      <c r="W69" s="87">
        <f t="shared" ref="W69:W79" si="18">SUM(U69:V69)</f>
        <v>1113.7432525160093</v>
      </c>
      <c r="X69" s="84">
        <f t="shared" si="14"/>
        <v>533.55325251600925</v>
      </c>
      <c r="Y69" s="60">
        <f t="shared" si="15"/>
        <v>0.91961814666921038</v>
      </c>
      <c r="Z69" s="238"/>
      <c r="AA69" s="233"/>
    </row>
    <row r="70" spans="1:27" s="61" customFormat="1" ht="12.75" customHeight="1" x14ac:dyDescent="0.25">
      <c r="A70" s="232" t="s">
        <v>7</v>
      </c>
      <c r="B70" s="62" t="s">
        <v>12</v>
      </c>
      <c r="C70" s="54" t="s">
        <v>7</v>
      </c>
      <c r="D70" s="12">
        <v>548</v>
      </c>
      <c r="E70" s="275">
        <v>376.94</v>
      </c>
      <c r="F70" s="78">
        <f t="shared" si="3"/>
        <v>0.6878467153284672</v>
      </c>
      <c r="G70" s="79">
        <f t="shared" si="4"/>
        <v>54800</v>
      </c>
      <c r="H70" s="130">
        <f>IF($C$12=Lookups!$E$14,Lookups!E17,IF($C$12=Lookups!$D$14,Lookups!D17,IF($C$12=Lookups!$F$14,Lookups!F17,"ERROR")))</f>
        <v>2.69</v>
      </c>
      <c r="I70" s="81">
        <f t="shared" si="16"/>
        <v>8495.4787301587312</v>
      </c>
      <c r="J70" s="81">
        <f t="shared" si="17"/>
        <v>28986.573427301591</v>
      </c>
      <c r="K70" s="80">
        <v>0.3</v>
      </c>
      <c r="L70" s="82">
        <f>'Demand Data'!C17</f>
        <v>0.28084321115716487</v>
      </c>
      <c r="M70" s="86">
        <f t="shared" si="5"/>
        <v>42.013748402507275</v>
      </c>
      <c r="N70" s="80">
        <v>0.4</v>
      </c>
      <c r="O70" s="83">
        <f t="shared" si="6"/>
        <v>16.805499361002912</v>
      </c>
      <c r="P70" s="84">
        <f t="shared" si="7"/>
        <v>386.54428222222219</v>
      </c>
      <c r="Q70" s="84">
        <f t="shared" si="8"/>
        <v>344.84884688777976</v>
      </c>
      <c r="R70" s="87">
        <f t="shared" si="9"/>
        <v>731.39312911000195</v>
      </c>
      <c r="S70" s="84">
        <f t="shared" si="10"/>
        <v>354.45312911000195</v>
      </c>
      <c r="T70" s="60">
        <f t="shared" si="11"/>
        <v>0.94034363323075809</v>
      </c>
      <c r="U70" s="84">
        <f t="shared" si="12"/>
        <v>367.42945507936508</v>
      </c>
      <c r="V70" s="84">
        <f t="shared" si="13"/>
        <v>308.2128582807934</v>
      </c>
      <c r="W70" s="87">
        <f t="shared" si="18"/>
        <v>675.64231336015848</v>
      </c>
      <c r="X70" s="84">
        <f t="shared" si="14"/>
        <v>298.70231336015848</v>
      </c>
      <c r="Y70" s="60">
        <f t="shared" si="15"/>
        <v>0.79243994630487213</v>
      </c>
      <c r="Z70" s="238"/>
      <c r="AA70" s="233"/>
    </row>
    <row r="71" spans="1:27" s="61" customFormat="1" ht="12.75" customHeight="1" x14ac:dyDescent="0.25">
      <c r="A71" s="232" t="s">
        <v>7</v>
      </c>
      <c r="B71" s="62" t="s">
        <v>13</v>
      </c>
      <c r="C71" s="54" t="s">
        <v>7</v>
      </c>
      <c r="D71" s="12">
        <v>481</v>
      </c>
      <c r="E71" s="275">
        <v>315.2</v>
      </c>
      <c r="F71" s="78">
        <f t="shared" si="3"/>
        <v>0.65530145530145523</v>
      </c>
      <c r="G71" s="79">
        <f t="shared" si="4"/>
        <v>48100</v>
      </c>
      <c r="H71" s="130">
        <f>IF($C$12=Lookups!$E$14,Lookups!E18,IF($C$12=Lookups!$D$14,Lookups!D18,IF($C$12=Lookups!$F$14,Lookups!F18,"ERROR")))</f>
        <v>3.0366666666666666</v>
      </c>
      <c r="I71" s="81">
        <f t="shared" si="16"/>
        <v>6301.0498211624454</v>
      </c>
      <c r="J71" s="81">
        <f t="shared" si="17"/>
        <v>21499.181989806264</v>
      </c>
      <c r="K71" s="80">
        <v>0.3</v>
      </c>
      <c r="L71" s="82">
        <f>'Demand Data'!C18</f>
        <v>0.26237751763141803</v>
      </c>
      <c r="M71" s="86">
        <f t="shared" si="5"/>
        <v>33.354451112849119</v>
      </c>
      <c r="N71" s="80">
        <v>0.3</v>
      </c>
      <c r="O71" s="83">
        <f t="shared" si="6"/>
        <v>10.006335333854736</v>
      </c>
      <c r="P71" s="84">
        <f t="shared" si="7"/>
        <v>286.69776686289117</v>
      </c>
      <c r="Q71" s="84">
        <f t="shared" si="8"/>
        <v>205.33000105069917</v>
      </c>
      <c r="R71" s="87">
        <f t="shared" si="9"/>
        <v>492.02776791359031</v>
      </c>
      <c r="S71" s="84">
        <f t="shared" si="10"/>
        <v>176.82776791359032</v>
      </c>
      <c r="T71" s="60">
        <f t="shared" si="11"/>
        <v>0.56100180175631453</v>
      </c>
      <c r="U71" s="84">
        <f t="shared" si="12"/>
        <v>272.52040476527577</v>
      </c>
      <c r="V71" s="84">
        <f t="shared" si="13"/>
        <v>183.51619002289584</v>
      </c>
      <c r="W71" s="87">
        <f t="shared" si="18"/>
        <v>456.03659478817161</v>
      </c>
      <c r="X71" s="84">
        <f t="shared" si="14"/>
        <v>140.83659478817162</v>
      </c>
      <c r="Y71" s="60">
        <f t="shared" si="15"/>
        <v>0.44681660783049376</v>
      </c>
      <c r="Z71" s="238"/>
      <c r="AA71" s="233"/>
    </row>
    <row r="72" spans="1:27" s="61" customFormat="1" ht="12.75" customHeight="1" x14ac:dyDescent="0.25">
      <c r="A72" s="232" t="s">
        <v>7</v>
      </c>
      <c r="B72" s="62" t="s">
        <v>8</v>
      </c>
      <c r="C72" s="54" t="s">
        <v>7</v>
      </c>
      <c r="D72" s="12">
        <v>390</v>
      </c>
      <c r="E72" s="275">
        <v>264.94</v>
      </c>
      <c r="F72" s="78">
        <f t="shared" si="3"/>
        <v>0.67933333333333334</v>
      </c>
      <c r="G72" s="79">
        <f t="shared" si="4"/>
        <v>39000</v>
      </c>
      <c r="H72" s="130">
        <f>IF($C$12=Lookups!$E$14,Lookups!E19,IF($C$12=Lookups!$D$14,Lookups!D19,IF($C$12=Lookups!$F$14,Lookups!F19,"ERROR")))</f>
        <v>3.47</v>
      </c>
      <c r="I72" s="81">
        <f t="shared" si="16"/>
        <v>4279.7898876404497</v>
      </c>
      <c r="J72" s="81">
        <f t="shared" si="17"/>
        <v>14602.643096629214</v>
      </c>
      <c r="K72" s="80">
        <v>0.3</v>
      </c>
      <c r="L72" s="82">
        <f>'Demand Data'!C19</f>
        <v>0.18331653515485602</v>
      </c>
      <c r="M72" s="86">
        <f t="shared" si="5"/>
        <v>32.425621707837458</v>
      </c>
      <c r="N72" s="80">
        <v>0.2</v>
      </c>
      <c r="O72" s="83">
        <f t="shared" si="6"/>
        <v>6.4851243415674915</v>
      </c>
      <c r="P72" s="84">
        <f t="shared" si="7"/>
        <v>194.73043988764042</v>
      </c>
      <c r="Q72" s="84">
        <f t="shared" si="8"/>
        <v>133.07475148896492</v>
      </c>
      <c r="R72" s="87">
        <f t="shared" si="9"/>
        <v>327.80519137660531</v>
      </c>
      <c r="S72" s="84">
        <f t="shared" si="10"/>
        <v>62.86519137660531</v>
      </c>
      <c r="T72" s="60">
        <f t="shared" si="11"/>
        <v>0.23728086123879108</v>
      </c>
      <c r="U72" s="84">
        <f t="shared" si="12"/>
        <v>185.10091264044942</v>
      </c>
      <c r="V72" s="84">
        <f t="shared" si="13"/>
        <v>118.93718042434779</v>
      </c>
      <c r="W72" s="87">
        <f t="shared" si="18"/>
        <v>304.03809306479718</v>
      </c>
      <c r="X72" s="84">
        <f t="shared" si="14"/>
        <v>39.098093064797183</v>
      </c>
      <c r="Y72" s="60">
        <f t="shared" si="15"/>
        <v>0.14757338667168862</v>
      </c>
      <c r="Z72" s="238"/>
      <c r="AA72" s="233"/>
    </row>
    <row r="73" spans="1:27" s="61" customFormat="1" ht="12.75" customHeight="1" x14ac:dyDescent="0.25">
      <c r="A73" s="232" t="s">
        <v>9</v>
      </c>
      <c r="B73" s="62" t="s">
        <v>14</v>
      </c>
      <c r="C73" s="63" t="s">
        <v>9</v>
      </c>
      <c r="D73" s="12">
        <v>143</v>
      </c>
      <c r="E73" s="275">
        <v>125.04</v>
      </c>
      <c r="F73" s="78">
        <f t="shared" si="3"/>
        <v>0.8744055944055944</v>
      </c>
      <c r="G73" s="79">
        <f t="shared" si="4"/>
        <v>14300</v>
      </c>
      <c r="H73" s="130">
        <f>IF($C$12=Lookups!$E$14,Lookups!E20,IF($C$12=Lookups!$D$14,Lookups!D20,IF($C$12=Lookups!$F$14,Lookups!F20,"ERROR")))</f>
        <v>3.8600000000000003</v>
      </c>
      <c r="I73" s="81">
        <f t="shared" si="16"/>
        <v>1369.2530392156862</v>
      </c>
      <c r="J73" s="81">
        <f t="shared" si="17"/>
        <v>4671.8913698039214</v>
      </c>
      <c r="K73" s="80">
        <v>0.3</v>
      </c>
      <c r="L73" s="82">
        <f>'Demand Data'!C20</f>
        <v>0.19153450759148147</v>
      </c>
      <c r="M73" s="86">
        <f t="shared" si="5"/>
        <v>9.9289697514986521</v>
      </c>
      <c r="N73" s="80">
        <v>0.1</v>
      </c>
      <c r="O73" s="83">
        <f t="shared" si="6"/>
        <v>0.9928969751498653</v>
      </c>
      <c r="P73" s="84">
        <f t="shared" si="7"/>
        <v>62.301013284313719</v>
      </c>
      <c r="Q73" s="84">
        <f t="shared" si="8"/>
        <v>24.891927167007122</v>
      </c>
      <c r="R73" s="87">
        <f t="shared" si="9"/>
        <v>87.192940451320837</v>
      </c>
      <c r="S73" s="84">
        <f t="shared" si="10"/>
        <v>-37.847059548679169</v>
      </c>
      <c r="T73" s="60">
        <f t="shared" si="11"/>
        <v>-0.30267961891138168</v>
      </c>
      <c r="U73" s="84">
        <f t="shared" si="12"/>
        <v>59.220193946078425</v>
      </c>
      <c r="V73" s="84">
        <f t="shared" si="13"/>
        <v>23.313220976518839</v>
      </c>
      <c r="W73" s="87">
        <f t="shared" si="18"/>
        <v>82.53341492259726</v>
      </c>
      <c r="X73" s="84">
        <f t="shared" si="14"/>
        <v>-42.506585077402747</v>
      </c>
      <c r="Y73" s="60">
        <f t="shared" si="15"/>
        <v>-0.339943898571679</v>
      </c>
      <c r="Z73" s="238"/>
      <c r="AA73" s="233"/>
    </row>
    <row r="74" spans="1:27" s="61" customFormat="1" ht="12.75" customHeight="1" x14ac:dyDescent="0.25">
      <c r="A74" s="232" t="s">
        <v>9</v>
      </c>
      <c r="B74" s="62" t="s">
        <v>15</v>
      </c>
      <c r="C74" s="63" t="s">
        <v>9</v>
      </c>
      <c r="D74" s="12">
        <v>99</v>
      </c>
      <c r="E74" s="275">
        <v>101.27</v>
      </c>
      <c r="F74" s="78">
        <f t="shared" si="3"/>
        <v>1.0229292929292928</v>
      </c>
      <c r="G74" s="79">
        <f t="shared" si="4"/>
        <v>9900</v>
      </c>
      <c r="H74" s="130">
        <f>IF($C$12=Lookups!$E$14,Lookups!E21,IF($C$12=Lookups!$D$14,Lookups!D21,IF($C$12=Lookups!$F$14,Lookups!F21,"ERROR")))</f>
        <v>4.12</v>
      </c>
      <c r="I74" s="81">
        <f t="shared" si="16"/>
        <v>873.70780120481913</v>
      </c>
      <c r="J74" s="81">
        <f t="shared" si="17"/>
        <v>2981.0910177108426</v>
      </c>
      <c r="K74" s="80">
        <v>0.3</v>
      </c>
      <c r="L74" s="82">
        <f>'Demand Data'!C21</f>
        <v>0.24227345202499379</v>
      </c>
      <c r="M74" s="86">
        <f t="shared" si="5"/>
        <v>5.008733095129748</v>
      </c>
      <c r="N74" s="80">
        <v>0.1</v>
      </c>
      <c r="O74" s="83">
        <f t="shared" si="6"/>
        <v>0.50087330951297482</v>
      </c>
      <c r="P74" s="84">
        <f t="shared" si="7"/>
        <v>39.75370495481927</v>
      </c>
      <c r="Q74" s="84">
        <f t="shared" si="8"/>
        <v>12.556893869490279</v>
      </c>
      <c r="R74" s="87">
        <f t="shared" si="9"/>
        <v>52.310598824309551</v>
      </c>
      <c r="S74" s="84">
        <f t="shared" si="10"/>
        <v>-48.959401175690445</v>
      </c>
      <c r="T74" s="60">
        <f t="shared" si="11"/>
        <v>-0.48345414412649795</v>
      </c>
      <c r="U74" s="84">
        <f t="shared" si="12"/>
        <v>37.787862402108424</v>
      </c>
      <c r="V74" s="84">
        <f t="shared" si="13"/>
        <v>11.760505307364649</v>
      </c>
      <c r="W74" s="87">
        <f t="shared" si="18"/>
        <v>49.548367709473069</v>
      </c>
      <c r="X74" s="84">
        <f t="shared" si="14"/>
        <v>-51.721632290526927</v>
      </c>
      <c r="Y74" s="60">
        <f t="shared" si="15"/>
        <v>-0.51073005125433912</v>
      </c>
      <c r="Z74" s="238"/>
      <c r="AA74" s="233"/>
    </row>
    <row r="75" spans="1:27" s="61" customFormat="1" ht="12.75" customHeight="1" x14ac:dyDescent="0.25">
      <c r="A75" s="232" t="s">
        <v>9</v>
      </c>
      <c r="B75" s="62" t="s">
        <v>16</v>
      </c>
      <c r="C75" s="63" t="s">
        <v>9</v>
      </c>
      <c r="D75" s="12">
        <v>139</v>
      </c>
      <c r="E75" s="275">
        <v>124.08</v>
      </c>
      <c r="F75" s="78">
        <f t="shared" si="3"/>
        <v>0.89266187050359713</v>
      </c>
      <c r="G75" s="79">
        <f t="shared" si="4"/>
        <v>13900</v>
      </c>
      <c r="H75" s="130">
        <f>IF($C$12=Lookups!$E$14,Lookups!E22,IF($C$12=Lookups!$D$14,Lookups!D22,IF($C$12=Lookups!$F$14,Lookups!F22,"ERROR")))</f>
        <v>4.0333333333333332</v>
      </c>
      <c r="I75" s="81">
        <f t="shared" si="16"/>
        <v>1259.602237113402</v>
      </c>
      <c r="J75" s="81">
        <f t="shared" si="17"/>
        <v>4297.7628330309271</v>
      </c>
      <c r="K75" s="80">
        <v>0.3</v>
      </c>
      <c r="L75" s="82">
        <f>'Demand Data'!C22</f>
        <v>0.19219444211585215</v>
      </c>
      <c r="M75" s="86">
        <f t="shared" si="5"/>
        <v>9.1024877321470559</v>
      </c>
      <c r="N75" s="80">
        <v>0.1</v>
      </c>
      <c r="O75" s="83">
        <f t="shared" si="6"/>
        <v>0.91024877321470565</v>
      </c>
      <c r="P75" s="84">
        <f t="shared" si="7"/>
        <v>57.311901788659782</v>
      </c>
      <c r="Q75" s="84">
        <f t="shared" si="8"/>
        <v>22.819936744492672</v>
      </c>
      <c r="R75" s="87">
        <f t="shared" si="9"/>
        <v>80.131838533152461</v>
      </c>
      <c r="S75" s="84">
        <f t="shared" si="10"/>
        <v>-43.948161466847537</v>
      </c>
      <c r="T75" s="60">
        <f t="shared" si="11"/>
        <v>-0.35419214592881637</v>
      </c>
      <c r="U75" s="84">
        <f t="shared" si="12"/>
        <v>54.477796755154628</v>
      </c>
      <c r="V75" s="84">
        <f t="shared" si="13"/>
        <v>21.37264119508129</v>
      </c>
      <c r="W75" s="87">
        <f t="shared" si="18"/>
        <v>75.850437950235914</v>
      </c>
      <c r="X75" s="84">
        <f t="shared" si="14"/>
        <v>-48.229562049764084</v>
      </c>
      <c r="Y75" s="60">
        <f t="shared" si="15"/>
        <v>-0.38869730858933016</v>
      </c>
      <c r="Z75" s="238"/>
      <c r="AA75" s="233"/>
    </row>
    <row r="76" spans="1:27" s="61" customFormat="1" ht="12.75" customHeight="1" x14ac:dyDescent="0.25">
      <c r="A76" s="232" t="s">
        <v>9</v>
      </c>
      <c r="B76" s="62" t="s">
        <v>17</v>
      </c>
      <c r="C76" s="63" t="s">
        <v>9</v>
      </c>
      <c r="D76" s="12">
        <v>145</v>
      </c>
      <c r="E76" s="275">
        <v>128.15</v>
      </c>
      <c r="F76" s="78">
        <f t="shared" si="3"/>
        <v>0.88379310344827589</v>
      </c>
      <c r="G76" s="79">
        <f t="shared" si="4"/>
        <v>14500</v>
      </c>
      <c r="H76" s="130">
        <f>IF($C$12=Lookups!$E$14,Lookups!E23,IF($C$12=Lookups!$D$14,Lookups!D23,IF($C$12=Lookups!$F$14,Lookups!F23,"ERROR")))</f>
        <v>3.6</v>
      </c>
      <c r="I76" s="81">
        <f t="shared" si="16"/>
        <v>1517.3266071428573</v>
      </c>
      <c r="J76" s="81">
        <f t="shared" si="17"/>
        <v>5177.1183835714291</v>
      </c>
      <c r="K76" s="80">
        <v>0.3</v>
      </c>
      <c r="L76" s="82">
        <f>'Demand Data'!C23</f>
        <v>0.13634826914774315</v>
      </c>
      <c r="M76" s="86">
        <f t="shared" si="5"/>
        <v>15.455994261230215</v>
      </c>
      <c r="N76" s="80">
        <v>0.3</v>
      </c>
      <c r="O76" s="83">
        <f t="shared" si="6"/>
        <v>4.6367982783690644</v>
      </c>
      <c r="P76" s="84">
        <f t="shared" si="7"/>
        <v>69.038360624999996</v>
      </c>
      <c r="Q76" s="84">
        <f t="shared" si="8"/>
        <v>116.24453283871244</v>
      </c>
      <c r="R76" s="87">
        <f t="shared" si="9"/>
        <v>185.28289346371244</v>
      </c>
      <c r="S76" s="84">
        <f t="shared" si="10"/>
        <v>57.132893463712435</v>
      </c>
      <c r="T76" s="60">
        <f t="shared" si="11"/>
        <v>0.44582827517528234</v>
      </c>
      <c r="U76" s="84">
        <f t="shared" si="12"/>
        <v>65.624375758928565</v>
      </c>
      <c r="V76" s="84">
        <f t="shared" si="13"/>
        <v>108.87202357610563</v>
      </c>
      <c r="W76" s="87">
        <f t="shared" si="18"/>
        <v>174.4963993350342</v>
      </c>
      <c r="X76" s="84">
        <f t="shared" si="14"/>
        <v>46.346399335034192</v>
      </c>
      <c r="Y76" s="60">
        <f t="shared" si="15"/>
        <v>0.36165742750709473</v>
      </c>
      <c r="Z76" s="238"/>
      <c r="AA76" s="233"/>
    </row>
    <row r="77" spans="1:27" s="64" customFormat="1" ht="12.75" customHeight="1" x14ac:dyDescent="0.25">
      <c r="A77" s="234" t="s">
        <v>7</v>
      </c>
      <c r="B77" s="62" t="s">
        <v>18</v>
      </c>
      <c r="C77" s="54" t="s">
        <v>7</v>
      </c>
      <c r="D77" s="12">
        <v>386</v>
      </c>
      <c r="E77" s="275">
        <v>274.02</v>
      </c>
      <c r="F77" s="78">
        <f t="shared" si="3"/>
        <v>0.70989637305699482</v>
      </c>
      <c r="G77" s="79">
        <f t="shared" si="4"/>
        <v>38600</v>
      </c>
      <c r="H77" s="130">
        <f>IF($C$12=Lookups!$E$14,Lookups!E24,IF($C$12=Lookups!$D$14,Lookups!D24,IF($C$12=Lookups!$F$14,Lookups!F24,"ERROR")))</f>
        <v>3.1233333333333335</v>
      </c>
      <c r="I77" s="81">
        <f t="shared" si="16"/>
        <v>4867.9362697274037</v>
      </c>
      <c r="J77" s="81">
        <f t="shared" si="17"/>
        <v>16609.3985523099</v>
      </c>
      <c r="K77" s="80">
        <v>0.3</v>
      </c>
      <c r="L77" s="82">
        <f>'Demand Data'!C24</f>
        <v>0.28002742645183382</v>
      </c>
      <c r="M77" s="86">
        <f t="shared" si="5"/>
        <v>24.144144316544462</v>
      </c>
      <c r="N77" s="80">
        <v>0.4</v>
      </c>
      <c r="O77" s="83">
        <f t="shared" si="6"/>
        <v>9.657657726617785</v>
      </c>
      <c r="P77" s="84">
        <f t="shared" si="7"/>
        <v>221.49110027259687</v>
      </c>
      <c r="Q77" s="84">
        <f t="shared" si="8"/>
        <v>198.17513655019695</v>
      </c>
      <c r="R77" s="87">
        <f t="shared" si="9"/>
        <v>419.66623682279385</v>
      </c>
      <c r="S77" s="84">
        <f t="shared" si="10"/>
        <v>145.64623682279387</v>
      </c>
      <c r="T77" s="60">
        <f t="shared" si="11"/>
        <v>0.53151681199472256</v>
      </c>
      <c r="U77" s="84">
        <f t="shared" si="12"/>
        <v>210.53824366571018</v>
      </c>
      <c r="V77" s="84">
        <f t="shared" si="13"/>
        <v>177.12144270617017</v>
      </c>
      <c r="W77" s="87">
        <f t="shared" si="18"/>
        <v>387.65968637188035</v>
      </c>
      <c r="X77" s="84">
        <f t="shared" si="14"/>
        <v>113.63968637188037</v>
      </c>
      <c r="Y77" s="60">
        <f t="shared" si="15"/>
        <v>0.4147131098893525</v>
      </c>
      <c r="Z77" s="146"/>
      <c r="AA77" s="207"/>
    </row>
    <row r="78" spans="1:27" s="64" customFormat="1" ht="12.75" customHeight="1" x14ac:dyDescent="0.25">
      <c r="A78" s="234" t="s">
        <v>7</v>
      </c>
      <c r="B78" s="62" t="s">
        <v>19</v>
      </c>
      <c r="C78" s="54" t="s">
        <v>7</v>
      </c>
      <c r="D78" s="12">
        <v>1243</v>
      </c>
      <c r="E78" s="275">
        <v>782.83</v>
      </c>
      <c r="F78" s="78">
        <f t="shared" si="3"/>
        <v>0.62979082864038616</v>
      </c>
      <c r="G78" s="79">
        <f t="shared" si="4"/>
        <v>124300</v>
      </c>
      <c r="H78" s="130">
        <f>IF($C$12=Lookups!$E$14,Lookups!E25,IF($C$12=Lookups!$D$14,Lookups!D25,IF($C$12=Lookups!$F$14,Lookups!F25,"ERROR")))</f>
        <v>2.6466666666666665</v>
      </c>
      <c r="I78" s="81">
        <f t="shared" si="16"/>
        <v>19722.034819494587</v>
      </c>
      <c r="J78" s="81">
        <f t="shared" si="17"/>
        <v>67291.582804115533</v>
      </c>
      <c r="K78" s="80">
        <v>0.35</v>
      </c>
      <c r="L78" s="88">
        <f>'Demand Data'!C25</f>
        <v>0.34608623534214566</v>
      </c>
      <c r="M78" s="86">
        <f t="shared" si="5"/>
        <v>79.147080206746693</v>
      </c>
      <c r="N78" s="80">
        <v>0.5</v>
      </c>
      <c r="O78" s="86">
        <f t="shared" si="6"/>
        <v>39.573540103373347</v>
      </c>
      <c r="P78" s="84">
        <f t="shared" si="7"/>
        <v>897.35258428700365</v>
      </c>
      <c r="Q78" s="84">
        <f t="shared" si="8"/>
        <v>812.04904292122103</v>
      </c>
      <c r="R78" s="87">
        <f t="shared" si="9"/>
        <v>1709.4016272082247</v>
      </c>
      <c r="S78" s="84">
        <f t="shared" si="10"/>
        <v>926.57162720822464</v>
      </c>
      <c r="T78" s="60">
        <f t="shared" si="11"/>
        <v>1.1836179339169739</v>
      </c>
      <c r="U78" s="84">
        <f t="shared" si="12"/>
        <v>867.27648118727438</v>
      </c>
      <c r="V78" s="84">
        <f t="shared" si="13"/>
        <v>725.77872549586721</v>
      </c>
      <c r="W78" s="87">
        <f t="shared" si="18"/>
        <v>1593.0552066831415</v>
      </c>
      <c r="X78" s="84">
        <f t="shared" si="14"/>
        <v>810.22520668314144</v>
      </c>
      <c r="Y78" s="60">
        <f t="shared" si="15"/>
        <v>1.0349950904834273</v>
      </c>
      <c r="Z78" s="146"/>
      <c r="AA78" s="207"/>
    </row>
    <row r="79" spans="1:27" s="64" customFormat="1" ht="12.75" customHeight="1" x14ac:dyDescent="0.25">
      <c r="A79" s="234" t="s">
        <v>7</v>
      </c>
      <c r="B79" s="62" t="s">
        <v>20</v>
      </c>
      <c r="C79" s="54" t="s">
        <v>7</v>
      </c>
      <c r="D79" s="12">
        <v>1658</v>
      </c>
      <c r="E79" s="275">
        <v>1015.14</v>
      </c>
      <c r="F79" s="78">
        <f t="shared" si="3"/>
        <v>0.61226779252110974</v>
      </c>
      <c r="G79" s="79">
        <f t="shared" si="4"/>
        <v>165800</v>
      </c>
      <c r="H79" s="130">
        <f>IF($C$12=Lookups!$E$14,Lookups!E26,IF($C$12=Lookups!$D$14,Lookups!D26,IF($C$12=Lookups!$F$14,Lookups!F26,"ERROR")))</f>
        <v>2.2999999999999998</v>
      </c>
      <c r="I79" s="81">
        <f t="shared" si="16"/>
        <v>32386.377200000006</v>
      </c>
      <c r="J79" s="81">
        <f t="shared" si="17"/>
        <v>110502.31900640002</v>
      </c>
      <c r="K79" s="80">
        <v>0.45</v>
      </c>
      <c r="L79" s="88">
        <f>'Demand Data'!C26</f>
        <v>0.45316735831561028</v>
      </c>
      <c r="M79" s="86">
        <f t="shared" si="5"/>
        <v>99.259310316691412</v>
      </c>
      <c r="N79" s="80">
        <v>0.6</v>
      </c>
      <c r="O79" s="86">
        <f t="shared" si="6"/>
        <v>59.555586190014843</v>
      </c>
      <c r="P79" s="84">
        <f t="shared" si="7"/>
        <v>1473.5801626000002</v>
      </c>
      <c r="Q79" s="84">
        <f t="shared" si="8"/>
        <v>1222.0806286191046</v>
      </c>
      <c r="R79" s="87">
        <f t="shared" si="9"/>
        <v>2695.6607912191048</v>
      </c>
      <c r="S79" s="89">
        <f t="shared" si="10"/>
        <v>1680.5207912191049</v>
      </c>
      <c r="T79" s="60">
        <f t="shared" si="11"/>
        <v>1.6554571696702967</v>
      </c>
      <c r="U79" s="84">
        <f t="shared" si="12"/>
        <v>1471.1511843100004</v>
      </c>
      <c r="V79" s="84">
        <f t="shared" si="13"/>
        <v>1092.2494507248723</v>
      </c>
      <c r="W79" s="87">
        <f t="shared" si="18"/>
        <v>2563.4006350348727</v>
      </c>
      <c r="X79" s="84">
        <f t="shared" si="14"/>
        <v>1548.2606350348728</v>
      </c>
      <c r="Y79" s="60">
        <f t="shared" si="15"/>
        <v>1.5251695677787034</v>
      </c>
      <c r="Z79" s="146"/>
      <c r="AA79" s="207"/>
    </row>
    <row r="80" spans="1:27" s="64" customFormat="1" ht="12.75" customHeight="1" thickBot="1" x14ac:dyDescent="0.3">
      <c r="A80" s="234"/>
      <c r="B80" s="65"/>
      <c r="C80" s="65"/>
      <c r="D80" s="37"/>
      <c r="E80" s="38"/>
      <c r="F80" s="67"/>
      <c r="G80" s="67"/>
      <c r="H80" s="90"/>
      <c r="I80" s="66"/>
      <c r="J80" s="66"/>
      <c r="K80" s="90"/>
      <c r="L80" s="91"/>
      <c r="M80" s="66"/>
      <c r="N80" s="90"/>
      <c r="O80" s="66"/>
      <c r="P80" s="67"/>
      <c r="Q80" s="69"/>
      <c r="R80" s="70"/>
      <c r="S80" s="69"/>
      <c r="T80" s="92"/>
      <c r="U80" s="67"/>
      <c r="V80" s="69"/>
      <c r="W80" s="70"/>
      <c r="X80" s="69"/>
      <c r="Y80" s="92"/>
      <c r="Z80" s="146"/>
      <c r="AA80" s="207"/>
    </row>
    <row r="81" spans="1:30" s="64" customFormat="1" ht="12.75" customHeight="1" x14ac:dyDescent="0.25">
      <c r="A81" s="206"/>
      <c r="B81" s="71" t="s">
        <v>71</v>
      </c>
      <c r="C81" s="71"/>
      <c r="D81" s="27">
        <f>SUM(D68:D80)</f>
        <v>7454</v>
      </c>
      <c r="E81" s="285">
        <f>SUM(E68:E80)</f>
        <v>4983.08</v>
      </c>
      <c r="F81" s="93">
        <f>E81/D81</f>
        <v>0.66851086664877912</v>
      </c>
      <c r="G81" s="27">
        <f>SUM(G68:G80)</f>
        <v>745400</v>
      </c>
      <c r="H81" s="72" t="s">
        <v>43</v>
      </c>
      <c r="I81" s="27">
        <f>SUM(I68:I80)</f>
        <v>123137.55355764566</v>
      </c>
      <c r="J81" s="27">
        <f>SUM(J68:J80)</f>
        <v>420145.33273868699</v>
      </c>
      <c r="K81" s="72" t="s">
        <v>43</v>
      </c>
      <c r="L81" s="72" t="s">
        <v>43</v>
      </c>
      <c r="M81" s="94">
        <f>AVERAGE(M68:M80)</f>
        <v>39.984044447963448</v>
      </c>
      <c r="N81" s="72" t="s">
        <v>43</v>
      </c>
      <c r="O81" s="72" t="s">
        <v>43</v>
      </c>
      <c r="P81" s="73">
        <f>SUM(P68:P80)</f>
        <v>5602.7586868728777</v>
      </c>
      <c r="Q81" s="73">
        <f t="shared" ref="Q81:R81" si="19">SUM(Q68:Q80)</f>
        <v>4594.9575003195278</v>
      </c>
      <c r="R81" s="253">
        <f t="shared" si="19"/>
        <v>10197.716187192405</v>
      </c>
      <c r="S81" s="284">
        <f>SUM(S68:S80)</f>
        <v>5214.6361871924055</v>
      </c>
      <c r="T81" s="51">
        <f>S81/E81</f>
        <v>1.0464684867978049</v>
      </c>
      <c r="U81" s="73">
        <f>SUM(U68:U80)</f>
        <v>5479.539995042278</v>
      </c>
      <c r="V81" s="73">
        <f t="shared" ref="V81:W81" si="20">SUM(V68:V80)</f>
        <v>4114.3567344222638</v>
      </c>
      <c r="W81" s="253">
        <f t="shared" si="20"/>
        <v>9593.8967294645408</v>
      </c>
      <c r="X81" s="284">
        <f>SUM(X68:X80)</f>
        <v>4610.8167294645427</v>
      </c>
      <c r="Y81" s="51">
        <f>X81/E81</f>
        <v>0.92529454262515209</v>
      </c>
      <c r="Z81" s="146"/>
      <c r="AA81" s="207"/>
    </row>
    <row r="82" spans="1:30" s="64" customFormat="1" ht="12.75" customHeight="1" x14ac:dyDescent="0.25">
      <c r="A82" s="206"/>
      <c r="B82" s="74" t="s">
        <v>76</v>
      </c>
      <c r="C82" s="74"/>
      <c r="D82" s="75">
        <f>D81/$C$7</f>
        <v>0.26621428571428574</v>
      </c>
      <c r="E82" s="95">
        <f>E81/$C$7</f>
        <v>0.17796714285714285</v>
      </c>
      <c r="F82" s="72" t="s">
        <v>43</v>
      </c>
      <c r="G82" s="96">
        <f>G81/$C$7</f>
        <v>26.62142857142857</v>
      </c>
      <c r="H82" s="72" t="s">
        <v>43</v>
      </c>
      <c r="I82" s="96">
        <f>I81/$C$7</f>
        <v>4.3977697699159162</v>
      </c>
      <c r="J82" s="96">
        <f>J81/$C$7</f>
        <v>15.005190454953107</v>
      </c>
      <c r="K82" s="72" t="s">
        <v>43</v>
      </c>
      <c r="L82" s="72" t="s">
        <v>43</v>
      </c>
      <c r="M82" s="97">
        <f>M81/$C$7</f>
        <v>1.428001587427266E-3</v>
      </c>
      <c r="N82" s="72" t="s">
        <v>43</v>
      </c>
      <c r="O82" s="72" t="s">
        <v>43</v>
      </c>
      <c r="P82" s="76">
        <f>P81/$C$7</f>
        <v>0.20009852453117422</v>
      </c>
      <c r="Q82" s="76">
        <f>Q81/$C$7</f>
        <v>0.16410562501141171</v>
      </c>
      <c r="R82" s="76">
        <f>R81/$C$7</f>
        <v>0.3642041495425859</v>
      </c>
      <c r="S82" s="76">
        <f>S81/$C$7</f>
        <v>0.18623700668544305</v>
      </c>
      <c r="T82" s="72" t="s">
        <v>43</v>
      </c>
      <c r="U82" s="76">
        <f>U81/$C$7</f>
        <v>0.19569785696579564</v>
      </c>
      <c r="V82" s="76">
        <f>V81/$C$7</f>
        <v>0.14694131194365229</v>
      </c>
      <c r="W82" s="76">
        <f>W81/$C$7</f>
        <v>0.3426391689094479</v>
      </c>
      <c r="X82" s="76">
        <f>X81/$C$7</f>
        <v>0.1646720260523051</v>
      </c>
      <c r="Y82" s="72" t="s">
        <v>43</v>
      </c>
      <c r="Z82" s="146"/>
      <c r="AA82" s="207"/>
    </row>
    <row r="83" spans="1:30" s="64" customFormat="1" ht="12.75" customHeight="1" x14ac:dyDescent="0.25">
      <c r="A83" s="206"/>
      <c r="B83" s="74" t="s">
        <v>79</v>
      </c>
      <c r="C83" s="74"/>
      <c r="D83" s="72" t="s">
        <v>43</v>
      </c>
      <c r="E83" s="98">
        <f>E81/$G$81</f>
        <v>6.6851086664877915E-3</v>
      </c>
      <c r="F83" s="72" t="s">
        <v>43</v>
      </c>
      <c r="G83" s="72" t="s">
        <v>43</v>
      </c>
      <c r="H83" s="72" t="s">
        <v>43</v>
      </c>
      <c r="I83" s="72" t="s">
        <v>43</v>
      </c>
      <c r="J83" s="72" t="s">
        <v>43</v>
      </c>
      <c r="K83" s="72" t="s">
        <v>43</v>
      </c>
      <c r="L83" s="72" t="s">
        <v>43</v>
      </c>
      <c r="M83" s="72" t="s">
        <v>43</v>
      </c>
      <c r="N83" s="72" t="s">
        <v>43</v>
      </c>
      <c r="O83" s="72" t="s">
        <v>43</v>
      </c>
      <c r="P83" s="72" t="s">
        <v>43</v>
      </c>
      <c r="Q83" s="72" t="s">
        <v>43</v>
      </c>
      <c r="R83" s="98">
        <f>R81/$G$81</f>
        <v>1.3680864216786163E-2</v>
      </c>
      <c r="S83" s="72" t="s">
        <v>43</v>
      </c>
      <c r="T83" s="72" t="s">
        <v>43</v>
      </c>
      <c r="U83" s="72" t="s">
        <v>43</v>
      </c>
      <c r="V83" s="72" t="s">
        <v>43</v>
      </c>
      <c r="W83" s="98">
        <f>W81/$G$81</f>
        <v>1.2870803232445051E-2</v>
      </c>
      <c r="X83" s="72" t="s">
        <v>43</v>
      </c>
      <c r="Y83" s="72" t="s">
        <v>43</v>
      </c>
      <c r="Z83" s="146"/>
      <c r="AA83" s="207"/>
    </row>
    <row r="84" spans="1:30" s="64" customFormat="1" ht="12.75" customHeight="1" x14ac:dyDescent="0.25">
      <c r="A84" s="235"/>
      <c r="B84" s="236"/>
      <c r="C84" s="236"/>
      <c r="D84" s="236"/>
      <c r="E84" s="146"/>
      <c r="F84" s="146"/>
      <c r="G84" s="146"/>
      <c r="H84" s="146"/>
      <c r="I84" s="146"/>
      <c r="J84" s="146"/>
      <c r="K84" s="34"/>
      <c r="L84" s="34"/>
      <c r="M84" s="34"/>
      <c r="N84" s="209"/>
      <c r="O84" s="146"/>
      <c r="P84" s="146"/>
      <c r="Q84" s="146"/>
      <c r="R84" s="146"/>
      <c r="S84" s="146"/>
      <c r="T84" s="146"/>
      <c r="U84" s="146"/>
      <c r="V84" s="146"/>
      <c r="W84" s="146"/>
      <c r="X84" s="146"/>
      <c r="Y84" s="146"/>
      <c r="Z84" s="146"/>
      <c r="AA84" s="207"/>
    </row>
    <row r="85" spans="1:30" s="64" customFormat="1" ht="12.75" customHeight="1" thickBot="1" x14ac:dyDescent="0.3">
      <c r="A85" s="235"/>
      <c r="B85" s="236"/>
      <c r="C85" s="236"/>
      <c r="D85" s="236"/>
      <c r="E85" s="146"/>
      <c r="F85" s="146"/>
      <c r="G85" s="146"/>
      <c r="H85" s="146"/>
      <c r="I85" s="146"/>
      <c r="J85" s="146"/>
      <c r="K85" s="34"/>
      <c r="L85" s="34"/>
      <c r="M85" s="34"/>
      <c r="N85" s="209"/>
      <c r="O85" s="146"/>
      <c r="P85" s="146"/>
      <c r="Q85" s="146"/>
      <c r="R85" s="146"/>
      <c r="S85" s="146"/>
      <c r="T85" s="146"/>
      <c r="U85" s="146"/>
      <c r="V85" s="146"/>
      <c r="W85" s="146"/>
      <c r="X85" s="146"/>
      <c r="Y85" s="146"/>
      <c r="Z85" s="146"/>
      <c r="AA85" s="207"/>
    </row>
    <row r="86" spans="1:30" s="100" customFormat="1" ht="15" x14ac:dyDescent="0.25">
      <c r="A86" s="214" t="s">
        <v>247</v>
      </c>
      <c r="B86" s="261"/>
      <c r="C86" s="261"/>
      <c r="D86" s="261"/>
      <c r="E86" s="261"/>
      <c r="F86" s="204"/>
      <c r="G86" s="204"/>
      <c r="H86" s="204"/>
      <c r="I86" s="262"/>
      <c r="J86" s="263"/>
      <c r="K86" s="263"/>
      <c r="L86" s="263"/>
      <c r="M86" s="264"/>
      <c r="N86" s="263"/>
      <c r="O86" s="263"/>
      <c r="P86" s="265"/>
      <c r="Q86" s="263"/>
      <c r="R86" s="263"/>
      <c r="S86" s="263"/>
      <c r="T86" s="263"/>
      <c r="U86" s="263"/>
      <c r="V86" s="263"/>
      <c r="W86" s="263"/>
      <c r="X86" s="263"/>
      <c r="Y86" s="263"/>
      <c r="Z86" s="263"/>
      <c r="AA86" s="263"/>
      <c r="AB86" s="263"/>
      <c r="AC86" s="263"/>
      <c r="AD86" s="266"/>
    </row>
    <row r="87" spans="1:30" s="64" customFormat="1" ht="12.75" customHeight="1" x14ac:dyDescent="0.25">
      <c r="A87" s="296" t="s">
        <v>252</v>
      </c>
      <c r="B87" s="236"/>
      <c r="C87" s="236"/>
      <c r="D87" s="236"/>
      <c r="E87" s="146"/>
      <c r="F87" s="146"/>
      <c r="G87" s="237"/>
      <c r="H87" s="146"/>
      <c r="I87" s="34"/>
      <c r="J87" s="146"/>
      <c r="K87" s="146"/>
      <c r="L87" s="146"/>
      <c r="M87" s="220"/>
      <c r="N87" s="146"/>
      <c r="O87" s="146"/>
      <c r="P87" s="146"/>
      <c r="Q87" s="146"/>
      <c r="R87" s="146"/>
      <c r="S87" s="146"/>
      <c r="T87" s="146"/>
      <c r="U87" s="146"/>
      <c r="V87" s="146"/>
      <c r="W87" s="146"/>
      <c r="X87" s="146"/>
      <c r="Y87" s="146"/>
      <c r="Z87" s="146"/>
      <c r="AA87" s="146"/>
      <c r="AB87" s="146"/>
      <c r="AC87" s="146"/>
      <c r="AD87" s="207"/>
    </row>
    <row r="88" spans="1:30" s="64" customFormat="1" ht="12.75" customHeight="1" x14ac:dyDescent="0.25">
      <c r="A88" s="235"/>
      <c r="B88" s="236"/>
      <c r="C88" s="236"/>
      <c r="D88" s="236"/>
      <c r="E88" s="146"/>
      <c r="F88" s="146"/>
      <c r="G88" s="237"/>
      <c r="H88" s="146"/>
      <c r="I88" s="34"/>
      <c r="J88" s="146"/>
      <c r="K88" s="146"/>
      <c r="L88" s="146"/>
      <c r="M88" s="220"/>
      <c r="N88" s="146"/>
      <c r="O88" s="146"/>
      <c r="P88" s="146"/>
      <c r="Q88" s="146"/>
      <c r="R88" s="146"/>
      <c r="S88" s="146"/>
      <c r="T88" s="146"/>
      <c r="U88" s="146"/>
      <c r="V88" s="146"/>
      <c r="W88" s="146"/>
      <c r="X88" s="146"/>
      <c r="Y88" s="146"/>
      <c r="Z88" s="146"/>
      <c r="AA88" s="146"/>
      <c r="AB88" s="146"/>
      <c r="AC88" s="146"/>
      <c r="AD88" s="207"/>
    </row>
    <row r="89" spans="1:30" s="64" customFormat="1" ht="12.75" customHeight="1" x14ac:dyDescent="0.2">
      <c r="A89" s="300" t="s">
        <v>130</v>
      </c>
      <c r="B89" s="301"/>
      <c r="C89" s="313"/>
      <c r="D89" s="134">
        <f>IF($C$12=Lookups!$E$14,Lookups!E11,IF($C$12=Lookups!$D$14,Lookups!D11,IF($C$12=Lookups!$F$14,Lookups!F11,"ERROR")))</f>
        <v>12</v>
      </c>
      <c r="E89" s="228"/>
      <c r="F89" s="228"/>
      <c r="G89" s="146"/>
      <c r="H89" s="237"/>
      <c r="I89" s="146"/>
      <c r="J89" s="34"/>
      <c r="K89" s="146"/>
      <c r="L89" s="146"/>
      <c r="M89" s="146"/>
      <c r="N89" s="220"/>
      <c r="O89" s="146"/>
      <c r="P89" s="146"/>
      <c r="Q89" s="146"/>
      <c r="R89" s="146"/>
      <c r="S89" s="146"/>
      <c r="T89" s="146"/>
      <c r="U89" s="146"/>
      <c r="V89" s="146"/>
      <c r="W89" s="146"/>
      <c r="X89" s="146"/>
      <c r="Y89" s="146"/>
      <c r="Z89" s="146"/>
      <c r="AA89" s="146"/>
      <c r="AB89" s="146"/>
      <c r="AC89" s="146"/>
      <c r="AD89" s="207"/>
    </row>
    <row r="90" spans="1:30" s="64" customFormat="1" ht="12.75" customHeight="1" x14ac:dyDescent="0.25">
      <c r="A90" s="300" t="s">
        <v>96</v>
      </c>
      <c r="B90" s="301"/>
      <c r="C90" s="313"/>
      <c r="D90" s="104">
        <f>IF(D89="N/A",0,(D89-C16)/D89)</f>
        <v>0.15833333333333335</v>
      </c>
      <c r="E90" s="146"/>
      <c r="F90" s="146"/>
      <c r="G90" s="146"/>
      <c r="H90" s="146"/>
      <c r="I90" s="34"/>
      <c r="J90" s="146"/>
      <c r="K90" s="146"/>
      <c r="L90" s="146"/>
      <c r="M90" s="220"/>
      <c r="N90" s="146"/>
      <c r="O90" s="146"/>
      <c r="P90" s="146"/>
      <c r="Q90" s="146"/>
      <c r="R90" s="146"/>
      <c r="S90" s="146"/>
      <c r="T90" s="146"/>
      <c r="U90" s="146"/>
      <c r="V90" s="146"/>
      <c r="W90" s="146"/>
      <c r="X90" s="146"/>
      <c r="Y90" s="146"/>
      <c r="Z90" s="146"/>
      <c r="AA90" s="146"/>
      <c r="AB90" s="146"/>
      <c r="AC90" s="146"/>
      <c r="AD90" s="207"/>
    </row>
    <row r="91" spans="1:30" s="64" customFormat="1" ht="12.75" customHeight="1" x14ac:dyDescent="0.25">
      <c r="A91" s="235"/>
      <c r="B91" s="236"/>
      <c r="C91" s="236"/>
      <c r="D91" s="236"/>
      <c r="E91" s="146"/>
      <c r="F91" s="146"/>
      <c r="G91" s="146"/>
      <c r="H91" s="146"/>
      <c r="I91" s="146"/>
      <c r="J91" s="146"/>
      <c r="K91" s="146"/>
      <c r="L91" s="146"/>
      <c r="M91" s="146"/>
      <c r="N91" s="146"/>
      <c r="O91" s="146"/>
      <c r="P91" s="146"/>
      <c r="Q91" s="146"/>
      <c r="R91" s="208" t="s">
        <v>229</v>
      </c>
      <c r="S91" s="146"/>
      <c r="T91" s="146"/>
      <c r="U91" s="146"/>
      <c r="V91" s="146"/>
      <c r="W91" s="146"/>
      <c r="X91" s="208" t="s">
        <v>230</v>
      </c>
      <c r="Y91" s="146"/>
      <c r="Z91" s="146"/>
      <c r="AA91" s="146"/>
      <c r="AB91" s="146"/>
      <c r="AC91" s="146"/>
      <c r="AD91" s="207"/>
    </row>
    <row r="92" spans="1:30" s="61" customFormat="1" ht="63.75" x14ac:dyDescent="0.25">
      <c r="A92" s="232" t="s">
        <v>5</v>
      </c>
      <c r="B92" s="46" t="s">
        <v>6</v>
      </c>
      <c r="C92" s="46" t="s">
        <v>5</v>
      </c>
      <c r="D92" s="46" t="s">
        <v>90</v>
      </c>
      <c r="E92" s="46" t="s">
        <v>91</v>
      </c>
      <c r="F92" s="46" t="s">
        <v>219</v>
      </c>
      <c r="G92" s="46" t="s">
        <v>238</v>
      </c>
      <c r="H92" s="46" t="s">
        <v>99</v>
      </c>
      <c r="I92" s="46" t="s">
        <v>113</v>
      </c>
      <c r="J92" s="10" t="s">
        <v>114</v>
      </c>
      <c r="K92" s="10" t="s">
        <v>115</v>
      </c>
      <c r="L92" s="10" t="s">
        <v>116</v>
      </c>
      <c r="M92" s="44" t="s">
        <v>92</v>
      </c>
      <c r="N92" s="44" t="s">
        <v>93</v>
      </c>
      <c r="O92" s="44" t="s">
        <v>217</v>
      </c>
      <c r="P92" s="44" t="s">
        <v>218</v>
      </c>
      <c r="Q92" s="44" t="s">
        <v>127</v>
      </c>
      <c r="R92" s="26" t="s">
        <v>220</v>
      </c>
      <c r="S92" s="26" t="s">
        <v>221</v>
      </c>
      <c r="T92" s="26" t="s">
        <v>248</v>
      </c>
      <c r="U92" s="26" t="s">
        <v>249</v>
      </c>
      <c r="V92" s="26" t="s">
        <v>224</v>
      </c>
      <c r="W92" s="45" t="s">
        <v>124</v>
      </c>
      <c r="X92" s="26" t="s">
        <v>220</v>
      </c>
      <c r="Y92" s="26" t="s">
        <v>221</v>
      </c>
      <c r="Z92" s="26" t="s">
        <v>250</v>
      </c>
      <c r="AA92" s="26" t="s">
        <v>251</v>
      </c>
      <c r="AB92" s="26" t="s">
        <v>224</v>
      </c>
      <c r="AC92" s="45" t="s">
        <v>124</v>
      </c>
      <c r="AD92" s="233"/>
    </row>
    <row r="93" spans="1:30" s="61" customFormat="1" ht="12.75" customHeight="1" x14ac:dyDescent="0.25">
      <c r="A93" s="232" t="s">
        <v>7</v>
      </c>
      <c r="B93" s="53" t="s">
        <v>10</v>
      </c>
      <c r="C93" s="54" t="s">
        <v>7</v>
      </c>
      <c r="D93" s="12">
        <v>30240</v>
      </c>
      <c r="E93" s="12">
        <v>99</v>
      </c>
      <c r="F93" s="55">
        <v>0.44844773793353315</v>
      </c>
      <c r="G93" s="283">
        <f t="shared" ref="G93:G104" si="21">IF(C93=$I$13,$K$13,$K$14)*D93*F93+IF(C93=$I$13,$L$13,$L$14)*D93*(1-F93)+IF(C93=$I$13,$J$13,$J$14)*E93</f>
        <v>3407.4</v>
      </c>
      <c r="H93" s="78">
        <f t="shared" ref="H93:H104" si="22">IF(D93=0,0,G93/D93)</f>
        <v>0.11267857142857143</v>
      </c>
      <c r="I93" s="79">
        <f t="shared" ref="I93:I104" si="23">D93*3.412</f>
        <v>103178.88</v>
      </c>
      <c r="J93" s="55">
        <v>0</v>
      </c>
      <c r="K93" s="56">
        <f t="shared" ref="K93:K104" si="24">D93*J93</f>
        <v>0</v>
      </c>
      <c r="L93" s="57">
        <f t="shared" ref="L93:L104" si="25">E93*J93</f>
        <v>0</v>
      </c>
      <c r="M93" s="58">
        <f t="shared" ref="M93:M104" si="26">K93*$D$90</f>
        <v>0</v>
      </c>
      <c r="N93" s="58">
        <f t="shared" ref="N93:N104" si="27">L93*$D$90</f>
        <v>0</v>
      </c>
      <c r="O93" s="79">
        <f t="shared" ref="O93:O104" si="28">IF($C$15="Yes",D93-M93,D93)</f>
        <v>30240</v>
      </c>
      <c r="P93" s="79">
        <f t="shared" ref="P93:P104" si="29">IF($C$15="Yes",E93-N93,E93)</f>
        <v>99</v>
      </c>
      <c r="Q93" s="79">
        <f>O93*3.412</f>
        <v>103178.88</v>
      </c>
      <c r="R93" s="59">
        <f t="shared" ref="R93:R104" si="30">IF(C93=$I$13,$K$13,$K$14)*O93*F93+IF(C93=$I$13,$L$13,$L$14)*O93*(1-F93)</f>
        <v>1375.92</v>
      </c>
      <c r="S93" s="59">
        <f t="shared" ref="S93:S104" si="31">IF(C93=$I$13,$J$13,$J$14)*P93</f>
        <v>2031.48</v>
      </c>
      <c r="T93" s="59">
        <f>SUM(R93:S93)</f>
        <v>3407.4</v>
      </c>
      <c r="U93" s="59">
        <f t="shared" ref="U93:U104" si="32">T93-G93</f>
        <v>0</v>
      </c>
      <c r="V93" s="278">
        <f t="shared" ref="V93:V104" si="33">T93/O93</f>
        <v>0.11267857142857143</v>
      </c>
      <c r="W93" s="60">
        <f t="shared" ref="W93:W104" si="34">U93/G93</f>
        <v>0</v>
      </c>
      <c r="X93" s="59">
        <f t="shared" ref="X93:X104" si="35">IF(C93=$I$29,$K$29,$K$30)*O93*F93+IF(C93=$I$29,$L$29,$L$30)*O93*(1-F93)</f>
        <v>1372.9713641290955</v>
      </c>
      <c r="Y93" s="59">
        <f t="shared" ref="Y93:Y104" si="36">IF(C93=$I$29,$J$29,$J$30)*P93</f>
        <v>1815.66</v>
      </c>
      <c r="Z93" s="59">
        <f>SUM(X93:Y93)</f>
        <v>3188.6313641290953</v>
      </c>
      <c r="AA93" s="59">
        <f>Z93-G93</f>
        <v>-218.76863587090475</v>
      </c>
      <c r="AB93" s="278">
        <f t="shared" ref="AB93:AB104" si="37">Z93/O93</f>
        <v>0.10544415886670289</v>
      </c>
      <c r="AC93" s="60">
        <f>AA93/G93</f>
        <v>-6.4203978362066302E-2</v>
      </c>
      <c r="AD93" s="233"/>
    </row>
    <row r="94" spans="1:30" s="61" customFormat="1" ht="12.75" customHeight="1" x14ac:dyDescent="0.25">
      <c r="A94" s="232" t="s">
        <v>7</v>
      </c>
      <c r="B94" s="62" t="s">
        <v>11</v>
      </c>
      <c r="C94" s="54" t="s">
        <v>7</v>
      </c>
      <c r="D94" s="12">
        <v>32480</v>
      </c>
      <c r="E94" s="12">
        <v>108</v>
      </c>
      <c r="F94" s="55">
        <v>0.44687246777489265</v>
      </c>
      <c r="G94" s="283">
        <f t="shared" si="21"/>
        <v>3694</v>
      </c>
      <c r="H94" s="78">
        <f t="shared" si="22"/>
        <v>0.11373152709359606</v>
      </c>
      <c r="I94" s="79">
        <f t="shared" si="23"/>
        <v>110821.75999999999</v>
      </c>
      <c r="J94" s="55">
        <v>0</v>
      </c>
      <c r="K94" s="56">
        <f t="shared" si="24"/>
        <v>0</v>
      </c>
      <c r="L94" s="57">
        <f t="shared" si="25"/>
        <v>0</v>
      </c>
      <c r="M94" s="58">
        <f t="shared" si="26"/>
        <v>0</v>
      </c>
      <c r="N94" s="58">
        <f t="shared" si="27"/>
        <v>0</v>
      </c>
      <c r="O94" s="79">
        <f t="shared" si="28"/>
        <v>32480</v>
      </c>
      <c r="P94" s="79">
        <f t="shared" si="29"/>
        <v>108</v>
      </c>
      <c r="Q94" s="79">
        <f t="shared" ref="Q94:Q104" si="38">O94*3.412</f>
        <v>110821.75999999999</v>
      </c>
      <c r="R94" s="59">
        <f t="shared" si="30"/>
        <v>1477.84</v>
      </c>
      <c r="S94" s="59">
        <f t="shared" si="31"/>
        <v>2216.16</v>
      </c>
      <c r="T94" s="59">
        <f t="shared" ref="T94:T104" si="39">SUM(R94:S94)</f>
        <v>3694</v>
      </c>
      <c r="U94" s="59">
        <f t="shared" si="32"/>
        <v>0</v>
      </c>
      <c r="V94" s="278">
        <f t="shared" si="33"/>
        <v>0.11373152709359606</v>
      </c>
      <c r="W94" s="60">
        <f t="shared" si="34"/>
        <v>0</v>
      </c>
      <c r="X94" s="59">
        <f t="shared" si="35"/>
        <v>1473.9310574232634</v>
      </c>
      <c r="Y94" s="59">
        <f t="shared" si="36"/>
        <v>1980.72</v>
      </c>
      <c r="Z94" s="59">
        <f t="shared" ref="Z94:Z104" si="40">SUM(X94:Y94)</f>
        <v>3454.6510574232634</v>
      </c>
      <c r="AA94" s="59">
        <f t="shared" ref="AA94:AA104" si="41">Z94-G94</f>
        <v>-239.34894257673659</v>
      </c>
      <c r="AB94" s="278">
        <f t="shared" si="37"/>
        <v>0.1063624094034256</v>
      </c>
      <c r="AC94" s="60">
        <f t="shared" ref="AC94:AC104" si="42">AA94/G94</f>
        <v>-6.4793974709457663E-2</v>
      </c>
      <c r="AD94" s="233"/>
    </row>
    <row r="95" spans="1:30" s="61" customFormat="1" ht="12.75" customHeight="1" x14ac:dyDescent="0.25">
      <c r="A95" s="232" t="s">
        <v>7</v>
      </c>
      <c r="B95" s="62" t="s">
        <v>12</v>
      </c>
      <c r="C95" s="54" t="s">
        <v>7</v>
      </c>
      <c r="D95" s="12">
        <v>33600</v>
      </c>
      <c r="E95" s="12">
        <v>112</v>
      </c>
      <c r="F95" s="55">
        <v>0.43988365698571313</v>
      </c>
      <c r="G95" s="283">
        <f t="shared" si="21"/>
        <v>3827.0399999999995</v>
      </c>
      <c r="H95" s="78">
        <f t="shared" si="22"/>
        <v>0.11389999999999999</v>
      </c>
      <c r="I95" s="79">
        <f t="shared" si="23"/>
        <v>114643.2</v>
      </c>
      <c r="J95" s="55">
        <v>0.03</v>
      </c>
      <c r="K95" s="56">
        <f t="shared" si="24"/>
        <v>1008</v>
      </c>
      <c r="L95" s="57">
        <f t="shared" si="25"/>
        <v>3.36</v>
      </c>
      <c r="M95" s="58">
        <f t="shared" si="26"/>
        <v>159.60000000000002</v>
      </c>
      <c r="N95" s="58">
        <f t="shared" si="27"/>
        <v>0.53200000000000003</v>
      </c>
      <c r="O95" s="79">
        <f t="shared" si="28"/>
        <v>33600</v>
      </c>
      <c r="P95" s="79">
        <f t="shared" si="29"/>
        <v>112</v>
      </c>
      <c r="Q95" s="79">
        <f t="shared" si="38"/>
        <v>114643.2</v>
      </c>
      <c r="R95" s="59">
        <f t="shared" si="30"/>
        <v>1528.7999999999997</v>
      </c>
      <c r="S95" s="59">
        <f t="shared" si="31"/>
        <v>2298.2399999999998</v>
      </c>
      <c r="T95" s="59">
        <f t="shared" si="39"/>
        <v>3827.0399999999995</v>
      </c>
      <c r="U95" s="59">
        <f t="shared" si="32"/>
        <v>0</v>
      </c>
      <c r="V95" s="278">
        <f t="shared" si="33"/>
        <v>0.11389999999999999</v>
      </c>
      <c r="W95" s="60">
        <f t="shared" si="34"/>
        <v>0</v>
      </c>
      <c r="X95" s="59">
        <f t="shared" si="35"/>
        <v>1521.3513176834394</v>
      </c>
      <c r="Y95" s="59">
        <f t="shared" si="36"/>
        <v>2054.08</v>
      </c>
      <c r="Z95" s="59">
        <f t="shared" si="40"/>
        <v>3575.4313176834394</v>
      </c>
      <c r="AA95" s="59">
        <f t="shared" si="41"/>
        <v>-251.60868231656013</v>
      </c>
      <c r="AB95" s="278">
        <f t="shared" si="37"/>
        <v>0.10641164635962617</v>
      </c>
      <c r="AC95" s="60">
        <f t="shared" si="42"/>
        <v>-6.574498367316782E-2</v>
      </c>
      <c r="AD95" s="233"/>
    </row>
    <row r="96" spans="1:30" s="61" customFormat="1" ht="12.75" customHeight="1" x14ac:dyDescent="0.25">
      <c r="A96" s="232" t="s">
        <v>7</v>
      </c>
      <c r="B96" s="62" t="s">
        <v>13</v>
      </c>
      <c r="C96" s="54" t="s">
        <v>7</v>
      </c>
      <c r="D96" s="12">
        <v>34400</v>
      </c>
      <c r="E96" s="12">
        <v>111</v>
      </c>
      <c r="F96" s="55">
        <v>0.41955497837417466</v>
      </c>
      <c r="G96" s="283">
        <f t="shared" si="21"/>
        <v>3842.92</v>
      </c>
      <c r="H96" s="78">
        <f t="shared" si="22"/>
        <v>0.11171279069767442</v>
      </c>
      <c r="I96" s="79">
        <f t="shared" si="23"/>
        <v>117372.8</v>
      </c>
      <c r="J96" s="55">
        <v>0.1</v>
      </c>
      <c r="K96" s="56">
        <f t="shared" si="24"/>
        <v>3440</v>
      </c>
      <c r="L96" s="57">
        <f t="shared" si="25"/>
        <v>11.100000000000001</v>
      </c>
      <c r="M96" s="58">
        <f t="shared" si="26"/>
        <v>544.66666666666674</v>
      </c>
      <c r="N96" s="58">
        <f t="shared" si="27"/>
        <v>1.7575000000000005</v>
      </c>
      <c r="O96" s="79">
        <f t="shared" si="28"/>
        <v>34400</v>
      </c>
      <c r="P96" s="79">
        <f t="shared" si="29"/>
        <v>111</v>
      </c>
      <c r="Q96" s="79">
        <f t="shared" si="38"/>
        <v>117372.8</v>
      </c>
      <c r="R96" s="59">
        <f t="shared" si="30"/>
        <v>1565.2</v>
      </c>
      <c r="S96" s="59">
        <f t="shared" si="31"/>
        <v>2277.7199999999998</v>
      </c>
      <c r="T96" s="59">
        <f t="shared" si="39"/>
        <v>3842.92</v>
      </c>
      <c r="U96" s="59">
        <f t="shared" si="32"/>
        <v>0</v>
      </c>
      <c r="V96" s="278">
        <f t="shared" si="33"/>
        <v>0.11171279069767442</v>
      </c>
      <c r="W96" s="60">
        <f t="shared" si="34"/>
        <v>0</v>
      </c>
      <c r="X96" s="59">
        <f t="shared" si="35"/>
        <v>1547.4340232130382</v>
      </c>
      <c r="Y96" s="59">
        <f t="shared" si="36"/>
        <v>2035.74</v>
      </c>
      <c r="Z96" s="59">
        <f t="shared" si="40"/>
        <v>3583.1740232130383</v>
      </c>
      <c r="AA96" s="59">
        <f t="shared" si="41"/>
        <v>-259.74597678696182</v>
      </c>
      <c r="AB96" s="278">
        <f t="shared" si="37"/>
        <v>0.10416203555851855</v>
      </c>
      <c r="AC96" s="60">
        <f t="shared" si="42"/>
        <v>-6.7590784296046189E-2</v>
      </c>
      <c r="AD96" s="233"/>
    </row>
    <row r="97" spans="1:30" s="61" customFormat="1" ht="12.75" customHeight="1" x14ac:dyDescent="0.25">
      <c r="A97" s="232" t="s">
        <v>7</v>
      </c>
      <c r="B97" s="62" t="s">
        <v>8</v>
      </c>
      <c r="C97" s="54" t="s">
        <v>7</v>
      </c>
      <c r="D97" s="12">
        <v>40640</v>
      </c>
      <c r="E97" s="12">
        <v>120</v>
      </c>
      <c r="F97" s="55">
        <v>0.42132249208324829</v>
      </c>
      <c r="G97" s="283">
        <f t="shared" si="21"/>
        <v>4311.5200000000004</v>
      </c>
      <c r="H97" s="78">
        <f t="shared" si="22"/>
        <v>0.10609055118110237</v>
      </c>
      <c r="I97" s="79">
        <f t="shared" si="23"/>
        <v>138663.67999999999</v>
      </c>
      <c r="J97" s="55">
        <v>0.25</v>
      </c>
      <c r="K97" s="56">
        <f t="shared" si="24"/>
        <v>10160</v>
      </c>
      <c r="L97" s="57">
        <f t="shared" si="25"/>
        <v>30</v>
      </c>
      <c r="M97" s="58">
        <f t="shared" si="26"/>
        <v>1608.666666666667</v>
      </c>
      <c r="N97" s="58">
        <f t="shared" si="27"/>
        <v>4.7500000000000009</v>
      </c>
      <c r="O97" s="79">
        <f t="shared" si="28"/>
        <v>40640</v>
      </c>
      <c r="P97" s="79">
        <f t="shared" si="29"/>
        <v>120</v>
      </c>
      <c r="Q97" s="79">
        <f t="shared" si="38"/>
        <v>138663.67999999999</v>
      </c>
      <c r="R97" s="59">
        <f t="shared" si="30"/>
        <v>1849.12</v>
      </c>
      <c r="S97" s="59">
        <f t="shared" si="31"/>
        <v>2462.4</v>
      </c>
      <c r="T97" s="59">
        <f t="shared" si="39"/>
        <v>4311.5200000000004</v>
      </c>
      <c r="U97" s="59">
        <f t="shared" si="32"/>
        <v>0</v>
      </c>
      <c r="V97" s="278">
        <f t="shared" si="33"/>
        <v>0.10609055118110237</v>
      </c>
      <c r="W97" s="60">
        <f t="shared" si="34"/>
        <v>0</v>
      </c>
      <c r="X97" s="59">
        <f t="shared" si="35"/>
        <v>1829.1729181348164</v>
      </c>
      <c r="Y97" s="59">
        <f t="shared" si="36"/>
        <v>2200.8000000000002</v>
      </c>
      <c r="Z97" s="59">
        <f t="shared" si="40"/>
        <v>4029.9729181348166</v>
      </c>
      <c r="AA97" s="59">
        <f t="shared" si="41"/>
        <v>-281.54708186518383</v>
      </c>
      <c r="AB97" s="278">
        <f t="shared" si="37"/>
        <v>9.9162719442293712E-2</v>
      </c>
      <c r="AC97" s="60">
        <f t="shared" si="42"/>
        <v>-6.5301119295557902E-2</v>
      </c>
      <c r="AD97" s="233"/>
    </row>
    <row r="98" spans="1:30" s="61" customFormat="1" ht="12.75" customHeight="1" x14ac:dyDescent="0.25">
      <c r="A98" s="232" t="s">
        <v>9</v>
      </c>
      <c r="B98" s="62" t="s">
        <v>14</v>
      </c>
      <c r="C98" s="63" t="s">
        <v>9</v>
      </c>
      <c r="D98" s="12">
        <v>42560</v>
      </c>
      <c r="E98" s="12">
        <v>137</v>
      </c>
      <c r="F98" s="55">
        <v>0.41366842248792929</v>
      </c>
      <c r="G98" s="283">
        <f t="shared" si="21"/>
        <v>5371.07</v>
      </c>
      <c r="H98" s="78">
        <f t="shared" si="22"/>
        <v>0.12619995300751879</v>
      </c>
      <c r="I98" s="79">
        <f t="shared" si="23"/>
        <v>145214.72</v>
      </c>
      <c r="J98" s="55">
        <v>0.3</v>
      </c>
      <c r="K98" s="56">
        <f t="shared" si="24"/>
        <v>12768</v>
      </c>
      <c r="L98" s="57">
        <f t="shared" si="25"/>
        <v>41.1</v>
      </c>
      <c r="M98" s="58">
        <f t="shared" si="26"/>
        <v>2021.6000000000004</v>
      </c>
      <c r="N98" s="58">
        <f t="shared" si="27"/>
        <v>6.5075000000000012</v>
      </c>
      <c r="O98" s="79">
        <f t="shared" si="28"/>
        <v>42560</v>
      </c>
      <c r="P98" s="79">
        <f t="shared" si="29"/>
        <v>137</v>
      </c>
      <c r="Q98" s="79">
        <f t="shared" si="38"/>
        <v>145214.72</v>
      </c>
      <c r="R98" s="59">
        <f t="shared" si="30"/>
        <v>1936.48</v>
      </c>
      <c r="S98" s="59">
        <f t="shared" si="31"/>
        <v>3434.59</v>
      </c>
      <c r="T98" s="59">
        <f t="shared" si="39"/>
        <v>5371.07</v>
      </c>
      <c r="U98" s="59">
        <f t="shared" si="32"/>
        <v>0</v>
      </c>
      <c r="V98" s="278">
        <f t="shared" si="33"/>
        <v>0.12619995300751879</v>
      </c>
      <c r="W98" s="60">
        <f t="shared" si="34"/>
        <v>0</v>
      </c>
      <c r="X98" s="59">
        <f t="shared" si="35"/>
        <v>1910.867056885751</v>
      </c>
      <c r="Y98" s="59">
        <f t="shared" si="36"/>
        <v>3216.76</v>
      </c>
      <c r="Z98" s="59">
        <f t="shared" si="40"/>
        <v>5127.6270568857508</v>
      </c>
      <c r="AA98" s="59">
        <f t="shared" si="41"/>
        <v>-243.44294311424892</v>
      </c>
      <c r="AB98" s="278">
        <f t="shared" si="37"/>
        <v>0.12047995904336821</v>
      </c>
      <c r="AC98" s="60">
        <f t="shared" si="42"/>
        <v>-4.532485019079046E-2</v>
      </c>
      <c r="AD98" s="233"/>
    </row>
    <row r="99" spans="1:30" s="61" customFormat="1" ht="12.75" customHeight="1" x14ac:dyDescent="0.25">
      <c r="A99" s="232" t="s">
        <v>9</v>
      </c>
      <c r="B99" s="62" t="s">
        <v>15</v>
      </c>
      <c r="C99" s="63" t="s">
        <v>9</v>
      </c>
      <c r="D99" s="12">
        <v>40800</v>
      </c>
      <c r="E99" s="12">
        <v>132</v>
      </c>
      <c r="F99" s="55">
        <v>0.39178850318913905</v>
      </c>
      <c r="G99" s="283">
        <f t="shared" si="21"/>
        <v>5165.6400000000003</v>
      </c>
      <c r="H99" s="78">
        <f t="shared" si="22"/>
        <v>0.12660882352941177</v>
      </c>
      <c r="I99" s="79">
        <f t="shared" si="23"/>
        <v>139209.60000000001</v>
      </c>
      <c r="J99" s="55">
        <v>0.35</v>
      </c>
      <c r="K99" s="56">
        <f t="shared" si="24"/>
        <v>14280</v>
      </c>
      <c r="L99" s="57">
        <f t="shared" si="25"/>
        <v>46.199999999999996</v>
      </c>
      <c r="M99" s="58">
        <f t="shared" si="26"/>
        <v>2261.0000000000005</v>
      </c>
      <c r="N99" s="58">
        <f t="shared" si="27"/>
        <v>7.3150000000000004</v>
      </c>
      <c r="O99" s="79">
        <f t="shared" si="28"/>
        <v>40800</v>
      </c>
      <c r="P99" s="79">
        <f t="shared" si="29"/>
        <v>132</v>
      </c>
      <c r="Q99" s="79">
        <f t="shared" si="38"/>
        <v>139209.60000000001</v>
      </c>
      <c r="R99" s="59">
        <f t="shared" si="30"/>
        <v>1856.4</v>
      </c>
      <c r="S99" s="59">
        <f t="shared" si="31"/>
        <v>3309.2400000000002</v>
      </c>
      <c r="T99" s="59">
        <f t="shared" si="39"/>
        <v>5165.6400000000003</v>
      </c>
      <c r="U99" s="59">
        <f t="shared" si="32"/>
        <v>0</v>
      </c>
      <c r="V99" s="278">
        <f t="shared" si="33"/>
        <v>0.12660882352941177</v>
      </c>
      <c r="W99" s="60">
        <f t="shared" si="34"/>
        <v>0</v>
      </c>
      <c r="X99" s="59">
        <f t="shared" si="35"/>
        <v>1818.9020784866948</v>
      </c>
      <c r="Y99" s="59">
        <f t="shared" si="36"/>
        <v>3099.36</v>
      </c>
      <c r="Z99" s="59">
        <f t="shared" si="40"/>
        <v>4918.2620784866949</v>
      </c>
      <c r="AA99" s="59">
        <f t="shared" si="41"/>
        <v>-247.37792151330541</v>
      </c>
      <c r="AB99" s="278">
        <f t="shared" si="37"/>
        <v>0.12054563917859547</v>
      </c>
      <c r="AC99" s="60">
        <f t="shared" si="42"/>
        <v>-4.788911374259635E-2</v>
      </c>
      <c r="AD99" s="233"/>
    </row>
    <row r="100" spans="1:30" s="61" customFormat="1" ht="12.75" customHeight="1" x14ac:dyDescent="0.25">
      <c r="A100" s="232" t="s">
        <v>9</v>
      </c>
      <c r="B100" s="62" t="s">
        <v>16</v>
      </c>
      <c r="C100" s="63" t="s">
        <v>9</v>
      </c>
      <c r="D100" s="12">
        <v>44320</v>
      </c>
      <c r="E100" s="12">
        <v>120</v>
      </c>
      <c r="F100" s="55">
        <v>0.39419522467138346</v>
      </c>
      <c r="G100" s="283">
        <f t="shared" si="21"/>
        <v>5024.96</v>
      </c>
      <c r="H100" s="78">
        <f t="shared" si="22"/>
        <v>0.11337906137184116</v>
      </c>
      <c r="I100" s="79">
        <f t="shared" si="23"/>
        <v>151219.84</v>
      </c>
      <c r="J100" s="55">
        <v>0.35</v>
      </c>
      <c r="K100" s="56">
        <f t="shared" si="24"/>
        <v>15511.999999999998</v>
      </c>
      <c r="L100" s="57">
        <f t="shared" si="25"/>
        <v>42</v>
      </c>
      <c r="M100" s="58">
        <f t="shared" si="26"/>
        <v>2456.0666666666666</v>
      </c>
      <c r="N100" s="58">
        <f t="shared" si="27"/>
        <v>6.6500000000000012</v>
      </c>
      <c r="O100" s="79">
        <f t="shared" si="28"/>
        <v>44320</v>
      </c>
      <c r="P100" s="79">
        <f t="shared" si="29"/>
        <v>120</v>
      </c>
      <c r="Q100" s="79">
        <f t="shared" si="38"/>
        <v>151219.84</v>
      </c>
      <c r="R100" s="59">
        <f t="shared" si="30"/>
        <v>2016.56</v>
      </c>
      <c r="S100" s="59">
        <f t="shared" si="31"/>
        <v>3008.4</v>
      </c>
      <c r="T100" s="59">
        <f t="shared" si="39"/>
        <v>5024.96</v>
      </c>
      <c r="U100" s="59">
        <f t="shared" si="32"/>
        <v>0</v>
      </c>
      <c r="V100" s="278">
        <f t="shared" si="33"/>
        <v>0.11337906137184116</v>
      </c>
      <c r="W100" s="60">
        <f t="shared" si="34"/>
        <v>0</v>
      </c>
      <c r="X100" s="59">
        <f t="shared" si="35"/>
        <v>1977.3736191828177</v>
      </c>
      <c r="Y100" s="59">
        <f t="shared" si="36"/>
        <v>2817.6</v>
      </c>
      <c r="Z100" s="59">
        <f t="shared" si="40"/>
        <v>4794.9736191828179</v>
      </c>
      <c r="AA100" s="59">
        <f t="shared" si="41"/>
        <v>-229.98638081718218</v>
      </c>
      <c r="AB100" s="278">
        <f t="shared" si="37"/>
        <v>0.10818983797795166</v>
      </c>
      <c r="AC100" s="60">
        <f t="shared" si="42"/>
        <v>-4.5768798322211951E-2</v>
      </c>
      <c r="AD100" s="233"/>
    </row>
    <row r="101" spans="1:30" s="61" customFormat="1" ht="12.75" customHeight="1" x14ac:dyDescent="0.25">
      <c r="A101" s="232" t="s">
        <v>9</v>
      </c>
      <c r="B101" s="62" t="s">
        <v>17</v>
      </c>
      <c r="C101" s="63" t="s">
        <v>9</v>
      </c>
      <c r="D101" s="12">
        <v>34400</v>
      </c>
      <c r="E101" s="12">
        <v>120</v>
      </c>
      <c r="F101" s="55">
        <v>0.40702279076602693</v>
      </c>
      <c r="G101" s="283">
        <f t="shared" si="21"/>
        <v>4573.6000000000004</v>
      </c>
      <c r="H101" s="78">
        <f t="shared" si="22"/>
        <v>0.13295348837209303</v>
      </c>
      <c r="I101" s="79">
        <f t="shared" si="23"/>
        <v>117372.8</v>
      </c>
      <c r="J101" s="55">
        <v>0.1</v>
      </c>
      <c r="K101" s="56">
        <f t="shared" si="24"/>
        <v>3440</v>
      </c>
      <c r="L101" s="57">
        <f t="shared" si="25"/>
        <v>12</v>
      </c>
      <c r="M101" s="58">
        <f t="shared" si="26"/>
        <v>544.66666666666674</v>
      </c>
      <c r="N101" s="58">
        <f t="shared" si="27"/>
        <v>1.9000000000000004</v>
      </c>
      <c r="O101" s="79">
        <f t="shared" si="28"/>
        <v>34400</v>
      </c>
      <c r="P101" s="79">
        <f t="shared" si="29"/>
        <v>120</v>
      </c>
      <c r="Q101" s="79">
        <f t="shared" si="38"/>
        <v>117372.8</v>
      </c>
      <c r="R101" s="59">
        <f t="shared" si="30"/>
        <v>1565.2000000000003</v>
      </c>
      <c r="S101" s="59">
        <f t="shared" si="31"/>
        <v>3008.4</v>
      </c>
      <c r="T101" s="59">
        <f t="shared" si="39"/>
        <v>4573.6000000000004</v>
      </c>
      <c r="U101" s="59">
        <f t="shared" si="32"/>
        <v>0</v>
      </c>
      <c r="V101" s="278">
        <f t="shared" si="33"/>
        <v>0.13295348837209303</v>
      </c>
      <c r="W101" s="60">
        <f t="shared" si="34"/>
        <v>0</v>
      </c>
      <c r="X101" s="59">
        <f t="shared" si="35"/>
        <v>1541.1829680340943</v>
      </c>
      <c r="Y101" s="59">
        <f t="shared" si="36"/>
        <v>2817.6</v>
      </c>
      <c r="Z101" s="59">
        <f t="shared" si="40"/>
        <v>4358.7829680340947</v>
      </c>
      <c r="AA101" s="59">
        <f t="shared" si="41"/>
        <v>-214.8170319659057</v>
      </c>
      <c r="AB101" s="278">
        <f t="shared" si="37"/>
        <v>0.12670880721029346</v>
      </c>
      <c r="AC101" s="60">
        <f t="shared" si="42"/>
        <v>-4.6968915507675721E-2</v>
      </c>
      <c r="AD101" s="233"/>
    </row>
    <row r="102" spans="1:30" s="64" customFormat="1" ht="12.75" customHeight="1" x14ac:dyDescent="0.25">
      <c r="A102" s="234" t="s">
        <v>7</v>
      </c>
      <c r="B102" s="62" t="s">
        <v>18</v>
      </c>
      <c r="C102" s="54" t="s">
        <v>7</v>
      </c>
      <c r="D102" s="12">
        <v>28640</v>
      </c>
      <c r="E102" s="12">
        <v>106</v>
      </c>
      <c r="F102" s="55">
        <v>0.41690881419019565</v>
      </c>
      <c r="G102" s="283">
        <f t="shared" si="21"/>
        <v>3478.24</v>
      </c>
      <c r="H102" s="78">
        <f t="shared" si="22"/>
        <v>0.12144692737430167</v>
      </c>
      <c r="I102" s="79">
        <f t="shared" si="23"/>
        <v>97719.679999999993</v>
      </c>
      <c r="J102" s="55">
        <v>0</v>
      </c>
      <c r="K102" s="56">
        <f t="shared" si="24"/>
        <v>0</v>
      </c>
      <c r="L102" s="57">
        <f t="shared" si="25"/>
        <v>0</v>
      </c>
      <c r="M102" s="58">
        <f t="shared" si="26"/>
        <v>0</v>
      </c>
      <c r="N102" s="58">
        <f t="shared" si="27"/>
        <v>0</v>
      </c>
      <c r="O102" s="79">
        <f t="shared" si="28"/>
        <v>28640</v>
      </c>
      <c r="P102" s="79">
        <f t="shared" si="29"/>
        <v>106</v>
      </c>
      <c r="Q102" s="79">
        <f t="shared" si="38"/>
        <v>97719.679999999993</v>
      </c>
      <c r="R102" s="59">
        <f t="shared" si="30"/>
        <v>1303.1199999999999</v>
      </c>
      <c r="S102" s="59">
        <f t="shared" si="31"/>
        <v>2175.12</v>
      </c>
      <c r="T102" s="59">
        <f t="shared" si="39"/>
        <v>3478.24</v>
      </c>
      <c r="U102" s="59">
        <f t="shared" si="32"/>
        <v>0</v>
      </c>
      <c r="V102" s="278">
        <f t="shared" si="33"/>
        <v>0.12144692737430167</v>
      </c>
      <c r="W102" s="60">
        <f t="shared" si="34"/>
        <v>0</v>
      </c>
      <c r="X102" s="59">
        <f t="shared" si="35"/>
        <v>1287.2298923569044</v>
      </c>
      <c r="Y102" s="59">
        <f t="shared" si="36"/>
        <v>1944.04</v>
      </c>
      <c r="Z102" s="59">
        <f t="shared" si="40"/>
        <v>3231.2698923569042</v>
      </c>
      <c r="AA102" s="59">
        <f t="shared" si="41"/>
        <v>-246.97010764309562</v>
      </c>
      <c r="AB102" s="278">
        <f t="shared" si="37"/>
        <v>0.11282366942586956</v>
      </c>
      <c r="AC102" s="60">
        <f t="shared" si="42"/>
        <v>-7.1004331973381837E-2</v>
      </c>
      <c r="AD102" s="207"/>
    </row>
    <row r="103" spans="1:30" s="64" customFormat="1" ht="12.75" customHeight="1" x14ac:dyDescent="0.25">
      <c r="A103" s="234" t="s">
        <v>7</v>
      </c>
      <c r="B103" s="62" t="s">
        <v>19</v>
      </c>
      <c r="C103" s="54" t="s">
        <v>7</v>
      </c>
      <c r="D103" s="12">
        <v>35360</v>
      </c>
      <c r="E103" s="12">
        <v>107</v>
      </c>
      <c r="F103" s="55">
        <v>0.44200890876037519</v>
      </c>
      <c r="G103" s="283">
        <f t="shared" si="21"/>
        <v>3804.52</v>
      </c>
      <c r="H103" s="78">
        <f t="shared" si="22"/>
        <v>0.10759389140271493</v>
      </c>
      <c r="I103" s="79">
        <f t="shared" si="23"/>
        <v>120648.31999999999</v>
      </c>
      <c r="J103" s="55">
        <v>0</v>
      </c>
      <c r="K103" s="56">
        <f t="shared" si="24"/>
        <v>0</v>
      </c>
      <c r="L103" s="57">
        <f t="shared" si="25"/>
        <v>0</v>
      </c>
      <c r="M103" s="58">
        <f t="shared" si="26"/>
        <v>0</v>
      </c>
      <c r="N103" s="58">
        <f t="shared" si="27"/>
        <v>0</v>
      </c>
      <c r="O103" s="79">
        <f t="shared" si="28"/>
        <v>35360</v>
      </c>
      <c r="P103" s="79">
        <f t="shared" si="29"/>
        <v>107</v>
      </c>
      <c r="Q103" s="79">
        <f t="shared" si="38"/>
        <v>120648.31999999999</v>
      </c>
      <c r="R103" s="59">
        <f t="shared" si="30"/>
        <v>1608.88</v>
      </c>
      <c r="S103" s="59">
        <f t="shared" si="31"/>
        <v>2195.64</v>
      </c>
      <c r="T103" s="59">
        <f t="shared" si="39"/>
        <v>3804.52</v>
      </c>
      <c r="U103" s="59">
        <f t="shared" si="32"/>
        <v>0</v>
      </c>
      <c r="V103" s="278">
        <f t="shared" si="33"/>
        <v>0.10759389140271493</v>
      </c>
      <c r="W103" s="60">
        <f t="shared" si="34"/>
        <v>0</v>
      </c>
      <c r="X103" s="59">
        <f t="shared" si="35"/>
        <v>1602.1308076996197</v>
      </c>
      <c r="Y103" s="59">
        <f t="shared" si="36"/>
        <v>1962.3799999999999</v>
      </c>
      <c r="Z103" s="59">
        <f t="shared" si="40"/>
        <v>3564.5108076996194</v>
      </c>
      <c r="AA103" s="59">
        <f t="shared" si="41"/>
        <v>-240.00919230038062</v>
      </c>
      <c r="AB103" s="278">
        <f t="shared" si="37"/>
        <v>0.10080630112272679</v>
      </c>
      <c r="AC103" s="60">
        <f t="shared" si="42"/>
        <v>-6.3085275488203668E-2</v>
      </c>
      <c r="AD103" s="207"/>
    </row>
    <row r="104" spans="1:30" s="64" customFormat="1" ht="12.75" customHeight="1" x14ac:dyDescent="0.25">
      <c r="A104" s="234" t="s">
        <v>7</v>
      </c>
      <c r="B104" s="62" t="s">
        <v>20</v>
      </c>
      <c r="C104" s="54" t="s">
        <v>7</v>
      </c>
      <c r="D104" s="12">
        <v>33760</v>
      </c>
      <c r="E104" s="12">
        <v>98</v>
      </c>
      <c r="F104" s="55">
        <v>0.44993479600116298</v>
      </c>
      <c r="G104" s="283">
        <f t="shared" si="21"/>
        <v>3547.04</v>
      </c>
      <c r="H104" s="78">
        <f t="shared" si="22"/>
        <v>0.10506635071090047</v>
      </c>
      <c r="I104" s="79">
        <f t="shared" si="23"/>
        <v>115189.12</v>
      </c>
      <c r="J104" s="55">
        <v>0</v>
      </c>
      <c r="K104" s="56">
        <f t="shared" si="24"/>
        <v>0</v>
      </c>
      <c r="L104" s="57">
        <f t="shared" si="25"/>
        <v>0</v>
      </c>
      <c r="M104" s="58">
        <f t="shared" si="26"/>
        <v>0</v>
      </c>
      <c r="N104" s="58">
        <f t="shared" si="27"/>
        <v>0</v>
      </c>
      <c r="O104" s="79">
        <f t="shared" si="28"/>
        <v>33760</v>
      </c>
      <c r="P104" s="79">
        <f t="shared" si="29"/>
        <v>98</v>
      </c>
      <c r="Q104" s="79">
        <f t="shared" si="38"/>
        <v>115189.12</v>
      </c>
      <c r="R104" s="59">
        <f t="shared" si="30"/>
        <v>1536.08</v>
      </c>
      <c r="S104" s="59">
        <f t="shared" si="31"/>
        <v>2010.96</v>
      </c>
      <c r="T104" s="59">
        <f t="shared" si="39"/>
        <v>3547.04</v>
      </c>
      <c r="U104" s="59">
        <f t="shared" si="32"/>
        <v>0</v>
      </c>
      <c r="V104" s="278">
        <f t="shared" si="33"/>
        <v>0.10506635071090047</v>
      </c>
      <c r="W104" s="60">
        <f t="shared" si="34"/>
        <v>0</v>
      </c>
      <c r="X104" s="59">
        <f t="shared" si="35"/>
        <v>1533.5160813384891</v>
      </c>
      <c r="Y104" s="59">
        <f t="shared" si="36"/>
        <v>1797.32</v>
      </c>
      <c r="Z104" s="59">
        <f t="shared" si="40"/>
        <v>3330.8360813384888</v>
      </c>
      <c r="AA104" s="59">
        <f t="shared" si="41"/>
        <v>-216.20391866151112</v>
      </c>
      <c r="AB104" s="278">
        <f t="shared" si="37"/>
        <v>9.8662206200784627E-2</v>
      </c>
      <c r="AC104" s="60">
        <f t="shared" si="42"/>
        <v>-6.0953335361741377E-2</v>
      </c>
      <c r="AD104" s="207"/>
    </row>
    <row r="105" spans="1:30" s="64" customFormat="1" ht="12.75" customHeight="1" thickBot="1" x14ac:dyDescent="0.3">
      <c r="A105" s="234"/>
      <c r="B105" s="65"/>
      <c r="C105" s="65"/>
      <c r="D105" s="37"/>
      <c r="E105" s="37"/>
      <c r="F105" s="38"/>
      <c r="G105" s="38"/>
      <c r="H105" s="38"/>
      <c r="I105" s="38"/>
      <c r="J105" s="38"/>
      <c r="K105" s="66"/>
      <c r="L105" s="66"/>
      <c r="M105" s="66"/>
      <c r="N105" s="68"/>
      <c r="O105" s="38"/>
      <c r="P105" s="68"/>
      <c r="Q105" s="38"/>
      <c r="R105" s="69"/>
      <c r="S105" s="70"/>
      <c r="T105" s="70"/>
      <c r="U105" s="70"/>
      <c r="V105" s="70"/>
      <c r="W105" s="69"/>
      <c r="X105" s="69"/>
      <c r="Y105" s="70"/>
      <c r="Z105" s="70"/>
      <c r="AA105" s="70"/>
      <c r="AB105" s="70"/>
      <c r="AC105" s="69"/>
      <c r="AD105" s="207"/>
    </row>
    <row r="106" spans="1:30" s="64" customFormat="1" ht="12.75" customHeight="1" x14ac:dyDescent="0.25">
      <c r="A106" s="206"/>
      <c r="B106" s="71" t="s">
        <v>71</v>
      </c>
      <c r="C106" s="71"/>
      <c r="D106" s="27">
        <f>SUM(D93:D105)</f>
        <v>431200</v>
      </c>
      <c r="E106" s="94">
        <f>AVERAGE(E93:E105)</f>
        <v>114.16666666666667</v>
      </c>
      <c r="F106" s="108">
        <f>AVERAGE(F93:F104)</f>
        <v>0.42430073276814784</v>
      </c>
      <c r="G106" s="252">
        <f>SUM(G93:G105)</f>
        <v>50047.94999999999</v>
      </c>
      <c r="H106" s="113">
        <f>G106/D106</f>
        <v>0.11606667439703151</v>
      </c>
      <c r="I106" s="27">
        <f>SUM(I93:I105)</f>
        <v>1471254.4</v>
      </c>
      <c r="J106" s="108">
        <f>K106/D106</f>
        <v>0.14055658627087197</v>
      </c>
      <c r="K106" s="27">
        <f>SUM(K93:K105)</f>
        <v>60608</v>
      </c>
      <c r="L106" s="72" t="s">
        <v>43</v>
      </c>
      <c r="M106" s="27">
        <f>SUM(M93:M105)</f>
        <v>9596.2666666666682</v>
      </c>
      <c r="N106" s="94">
        <f>AVERAGE(N93:N105)</f>
        <v>2.4510000000000005</v>
      </c>
      <c r="O106" s="127">
        <f>SUM(O93:O105)</f>
        <v>431200</v>
      </c>
      <c r="P106" s="94">
        <f>AVERAGE(P93:P105)</f>
        <v>114.16666666666667</v>
      </c>
      <c r="Q106" s="127">
        <f>SUM(Q93:Q105)</f>
        <v>1471254.4</v>
      </c>
      <c r="R106" s="73">
        <f t="shared" ref="R106:S106" si="43">SUM(R93:R105)</f>
        <v>19619.599999999999</v>
      </c>
      <c r="S106" s="73">
        <f t="shared" si="43"/>
        <v>30428.35</v>
      </c>
      <c r="T106" s="253">
        <f>SUM(T93:T104)</f>
        <v>50047.94999999999</v>
      </c>
      <c r="U106" s="254">
        <f>SUM(U93:U104)</f>
        <v>0</v>
      </c>
      <c r="V106" s="93">
        <f>AVERAGE(V93:V105)</f>
        <v>0.11594682801414385</v>
      </c>
      <c r="W106" s="108">
        <f>U106/G106</f>
        <v>0</v>
      </c>
      <c r="X106" s="73">
        <f t="shared" ref="X106:Y106" si="44">SUM(X93:X105)</f>
        <v>19416.063184568025</v>
      </c>
      <c r="Y106" s="73">
        <f t="shared" si="44"/>
        <v>27742.059999999998</v>
      </c>
      <c r="Z106" s="253">
        <f>SUM(Z93:Z104)</f>
        <v>47158.123184568023</v>
      </c>
      <c r="AA106" s="254">
        <f>SUM(AA93:AA104)</f>
        <v>-2889.8268154319767</v>
      </c>
      <c r="AB106" s="93">
        <f>AVERAGE(AB93:AB105)</f>
        <v>0.10914661581584639</v>
      </c>
      <c r="AC106" s="108">
        <f>AVERAGE(AC93:AC104)</f>
        <v>-5.9052455076908102E-2</v>
      </c>
      <c r="AD106" s="207"/>
    </row>
    <row r="107" spans="1:30" s="64" customFormat="1" ht="12.75" customHeight="1" thickBot="1" x14ac:dyDescent="0.3">
      <c r="A107" s="206"/>
      <c r="B107" s="74" t="s">
        <v>76</v>
      </c>
      <c r="C107" s="74"/>
      <c r="D107" s="96">
        <f>D106/$C$7</f>
        <v>15.4</v>
      </c>
      <c r="E107" s="72" t="s">
        <v>43</v>
      </c>
      <c r="F107" s="72" t="s">
        <v>43</v>
      </c>
      <c r="G107" s="76">
        <f>G106/$C$7</f>
        <v>1.7874267857142854</v>
      </c>
      <c r="H107" s="72" t="s">
        <v>43</v>
      </c>
      <c r="I107" s="96">
        <f>I106/$C$7</f>
        <v>52.544799999999995</v>
      </c>
      <c r="J107" s="72" t="s">
        <v>43</v>
      </c>
      <c r="K107" s="114">
        <f>K106/$C$7</f>
        <v>2.1645714285714286</v>
      </c>
      <c r="L107" s="72" t="s">
        <v>43</v>
      </c>
      <c r="M107" s="114">
        <f t="shared" ref="M107:V107" si="45">M106/$C$7</f>
        <v>0.3427238095238096</v>
      </c>
      <c r="N107" s="125">
        <f t="shared" si="45"/>
        <v>8.7535714285714297E-5</v>
      </c>
      <c r="O107" s="128">
        <f t="shared" si="45"/>
        <v>15.4</v>
      </c>
      <c r="P107" s="125">
        <f t="shared" si="45"/>
        <v>4.0773809523809521E-3</v>
      </c>
      <c r="Q107" s="128">
        <f t="shared" si="45"/>
        <v>52.544799999999995</v>
      </c>
      <c r="R107" s="126">
        <f t="shared" si="45"/>
        <v>0.70069999999999999</v>
      </c>
      <c r="S107" s="76">
        <f t="shared" si="45"/>
        <v>1.0867267857142857</v>
      </c>
      <c r="T107" s="76">
        <f t="shared" si="45"/>
        <v>1.7874267857142854</v>
      </c>
      <c r="U107" s="76">
        <f t="shared" si="45"/>
        <v>0</v>
      </c>
      <c r="V107" s="76">
        <f t="shared" si="45"/>
        <v>4.1409581433622804E-6</v>
      </c>
      <c r="W107" s="72" t="s">
        <v>43</v>
      </c>
      <c r="X107" s="126">
        <f>X106/$C$7</f>
        <v>0.69343082802028666</v>
      </c>
      <c r="Y107" s="76">
        <f>Y106/$C$7</f>
        <v>0.99078785714285711</v>
      </c>
      <c r="Z107" s="76">
        <f>Z106/$C$7</f>
        <v>1.6842186851631438</v>
      </c>
      <c r="AA107" s="76">
        <f>AA106/$C$7</f>
        <v>-0.10320810055114202</v>
      </c>
      <c r="AB107" s="76">
        <f>AB106/$C$7</f>
        <v>3.8980934219945138E-6</v>
      </c>
      <c r="AC107" s="72" t="s">
        <v>43</v>
      </c>
      <c r="AD107" s="207"/>
    </row>
    <row r="108" spans="1:30" s="64" customFormat="1" ht="12.75" customHeight="1" thickBot="1" x14ac:dyDescent="0.3">
      <c r="A108" s="206"/>
      <c r="B108" s="146"/>
      <c r="C108" s="146"/>
      <c r="D108" s="146"/>
      <c r="E108" s="146"/>
      <c r="F108" s="146"/>
      <c r="G108" s="237" t="s">
        <v>125</v>
      </c>
      <c r="H108" s="129">
        <f>I107+G82</f>
        <v>79.166228571428562</v>
      </c>
      <c r="I108" s="146" t="s">
        <v>100</v>
      </c>
      <c r="J108" s="146"/>
      <c r="K108" s="146"/>
      <c r="L108" s="146"/>
      <c r="M108" s="146"/>
      <c r="N108" s="146"/>
      <c r="O108" s="146"/>
      <c r="P108" s="237" t="s">
        <v>126</v>
      </c>
      <c r="Q108" s="129">
        <f>Q107+J82</f>
        <v>67.549990454953104</v>
      </c>
      <c r="R108" s="146" t="s">
        <v>100</v>
      </c>
      <c r="S108" s="146"/>
      <c r="T108" s="146"/>
      <c r="U108" s="146"/>
      <c r="V108" s="146"/>
      <c r="W108" s="146"/>
      <c r="X108" s="146"/>
      <c r="Y108" s="146"/>
      <c r="Z108" s="146"/>
      <c r="AA108" s="146"/>
      <c r="AB108" s="146"/>
      <c r="AC108" s="146"/>
      <c r="AD108" s="207"/>
    </row>
    <row r="109" spans="1:30" s="64" customFormat="1" ht="13.5" thickBot="1" x14ac:dyDescent="0.3">
      <c r="A109" s="221"/>
      <c r="B109" s="210"/>
      <c r="C109" s="210"/>
      <c r="D109" s="210"/>
      <c r="E109" s="210"/>
      <c r="F109" s="210"/>
      <c r="G109" s="210"/>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1"/>
    </row>
    <row r="110" spans="1:30" s="64" customFormat="1" ht="12.75" x14ac:dyDescent="0.25"/>
    <row r="111" spans="1:30" s="64" customFormat="1" ht="12.75" x14ac:dyDescent="0.25"/>
    <row r="112" spans="1:30" s="64" customFormat="1" ht="12.75" x14ac:dyDescent="0.25"/>
    <row r="113" s="64" customFormat="1" ht="12.75" x14ac:dyDescent="0.25"/>
    <row r="114" s="64" customFormat="1" ht="12.75" x14ac:dyDescent="0.25"/>
    <row r="115" s="64" customFormat="1" ht="12.75" x14ac:dyDescent="0.25"/>
    <row r="116" s="64" customFormat="1" ht="12.75" x14ac:dyDescent="0.25"/>
    <row r="117" s="64" customFormat="1" ht="12.75" x14ac:dyDescent="0.25"/>
    <row r="118" s="64" customFormat="1" ht="12.75" x14ac:dyDescent="0.25"/>
    <row r="119" s="64" customFormat="1" ht="12.75" x14ac:dyDescent="0.25"/>
    <row r="120" s="64" customFormat="1" ht="12.75" x14ac:dyDescent="0.25"/>
    <row r="121" s="64" customFormat="1" ht="12.75" x14ac:dyDescent="0.25"/>
    <row r="122" s="64" customFormat="1" ht="12.75" x14ac:dyDescent="0.25"/>
    <row r="123" s="64" customFormat="1" ht="12.75" x14ac:dyDescent="0.25"/>
    <row r="124" s="64" customFormat="1" ht="12.75" x14ac:dyDescent="0.25"/>
    <row r="125" s="64" customFormat="1" ht="12.75" x14ac:dyDescent="0.25"/>
  </sheetData>
  <mergeCells count="15">
    <mergeCell ref="J22:L22"/>
    <mergeCell ref="J11:L11"/>
    <mergeCell ref="C6:E6"/>
    <mergeCell ref="A90:C90"/>
    <mergeCell ref="A89:C89"/>
    <mergeCell ref="C12:F12"/>
    <mergeCell ref="J27:L27"/>
    <mergeCell ref="H20:I20"/>
    <mergeCell ref="J20:M20"/>
    <mergeCell ref="C5:E5"/>
    <mergeCell ref="H6:I6"/>
    <mergeCell ref="J6:K6"/>
    <mergeCell ref="C10:E10"/>
    <mergeCell ref="H9:I9"/>
    <mergeCell ref="J9:M9"/>
  </mergeCells>
  <phoneticPr fontId="9" type="noConversion"/>
  <conditionalFormatting sqref="E26">
    <cfRule type="expression" dxfId="46" priority="33">
      <formula>$E$19&lt;&gt;"NC"</formula>
    </cfRule>
  </conditionalFormatting>
  <conditionalFormatting sqref="E26 E22">
    <cfRule type="expression" dxfId="45" priority="32">
      <formula>$E$19="Retrofit"</formula>
    </cfRule>
  </conditionalFormatting>
  <conditionalFormatting sqref="C16">
    <cfRule type="expression" dxfId="44" priority="31">
      <formula>$C$15="No"</formula>
    </cfRule>
  </conditionalFormatting>
  <conditionalFormatting sqref="E25">
    <cfRule type="expression" dxfId="43" priority="27">
      <formula>$E$19="Retrofit"</formula>
    </cfRule>
  </conditionalFormatting>
  <conditionalFormatting sqref="D26">
    <cfRule type="expression" dxfId="42" priority="25">
      <formula>$E$19="Retrofit"</formula>
    </cfRule>
  </conditionalFormatting>
  <conditionalFormatting sqref="E24">
    <cfRule type="expression" dxfId="41" priority="24">
      <formula>$E$19="Retrofit"</formula>
    </cfRule>
  </conditionalFormatting>
  <conditionalFormatting sqref="F44:G44">
    <cfRule type="cellIs" dxfId="40" priority="20" operator="notEqual">
      <formula>"NA"</formula>
    </cfRule>
    <cfRule type="cellIs" dxfId="39" priority="21" operator="equal">
      <formula>"NA"</formula>
    </cfRule>
  </conditionalFormatting>
  <conditionalFormatting sqref="F42:G42">
    <cfRule type="cellIs" dxfId="38" priority="40" operator="lessThan">
      <formula>0</formula>
    </cfRule>
    <cfRule type="cellIs" dxfId="37" priority="41" operator="greaterThan">
      <formula>0</formula>
    </cfRule>
  </conditionalFormatting>
  <conditionalFormatting sqref="E28">
    <cfRule type="expression" dxfId="36" priority="15">
      <formula>$E$19="Retrofit"</formula>
    </cfRule>
  </conditionalFormatting>
  <conditionalFormatting sqref="F47">
    <cfRule type="cellIs" dxfId="35" priority="3" operator="lessThan">
      <formula>0</formula>
    </cfRule>
    <cfRule type="cellIs" dxfId="34" priority="4" operator="greaterThan">
      <formula>0</formula>
    </cfRule>
  </conditionalFormatting>
  <conditionalFormatting sqref="G47">
    <cfRule type="cellIs" dxfId="33" priority="1" operator="lessThan">
      <formula>0</formula>
    </cfRule>
    <cfRule type="cellIs" dxfId="32" priority="2" operator="greaterThan">
      <formula>0</formula>
    </cfRule>
  </conditionalFormatting>
  <dataValidations count="6">
    <dataValidation type="list" allowBlank="1" showInputMessage="1" showErrorMessage="1" sqref="C8" xr:uid="{54EE61F6-FBB7-4559-A055-C9F46DA799C9}">
      <formula1>"Office,Home"</formula1>
    </dataValidation>
    <dataValidation type="list" allowBlank="1" showInputMessage="1" showErrorMessage="1" sqref="J6" xr:uid="{6D2D3B10-B455-438B-9840-0D15798A9FD9}">
      <formula1>RateType</formula1>
    </dataValidation>
    <dataValidation type="list" allowBlank="1" showInputMessage="1" showErrorMessage="1" sqref="E19" xr:uid="{95E0DB87-C067-43E9-AD04-0D1B9146F34A}">
      <formula1>"NC, EOL, Retrofit"</formula1>
    </dataValidation>
    <dataValidation type="list" allowBlank="1" showInputMessage="1" showErrorMessage="1" sqref="C15" xr:uid="{26741E0A-0EA4-4A2F-9A1C-CB36D7767C68}">
      <formula1>"Yes,No"</formula1>
    </dataValidation>
    <dataValidation type="list" allowBlank="1" showInputMessage="1" showErrorMessage="1" sqref="C68:C80 C93:C105" xr:uid="{E96DA4E5-68FC-4D9B-B91F-F5E7B6D058EC}">
      <formula1>$I$13:$I$14</formula1>
    </dataValidation>
    <dataValidation type="list" allowBlank="1" showInputMessage="1" showErrorMessage="1" sqref="J9 J20" xr:uid="{025C5ED0-7EBB-4C49-AD51-640104DBD7A4}">
      <formula1>INDIRECT($J$6)</formula1>
    </dataValidation>
  </dataValidations>
  <pageMargins left="0.7" right="0.7" top="0.75" bottom="0.75" header="0.3" footer="0.3"/>
  <pageSetup scale="57" fitToHeight="4" orientation="landscape" r:id="rId1"/>
  <rowBreaks count="1" manualBreakCount="1">
    <brk id="64" max="16383" man="1"/>
  </rowBreaks>
  <ignoredErrors>
    <ignoredError sqref="N106"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86176B3-7E38-4C99-8327-EBB2F9E73129}">
          <x14:formula1>
            <xm:f>Lookups!$D$14:$F$14</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C1C0A-4E28-45E6-B79F-44B7993C1024}">
  <sheetPr>
    <tabColor theme="8" tint="0.59999389629810485"/>
  </sheetPr>
  <dimension ref="A1:N125"/>
  <sheetViews>
    <sheetView zoomScaleNormal="100" workbookViewId="0">
      <selection activeCell="C38" sqref="C38"/>
    </sheetView>
  </sheetViews>
  <sheetFormatPr defaultColWidth="9.140625" defaultRowHeight="12.75" x14ac:dyDescent="0.2"/>
  <cols>
    <col min="1" max="1" width="16.5703125" style="5" customWidth="1"/>
    <col min="2" max="3" width="14.7109375" style="5" customWidth="1"/>
    <col min="4" max="4" width="12.28515625" style="5" customWidth="1"/>
    <col min="5" max="6" width="12.42578125" style="5" customWidth="1"/>
    <col min="7" max="7" width="12.5703125" style="5" customWidth="1"/>
    <col min="8" max="8" width="9.140625" style="5"/>
    <col min="9" max="9" width="11" style="5" customWidth="1"/>
    <col min="10" max="10" width="10.5703125" style="5" bestFit="1" customWidth="1"/>
    <col min="11" max="16384" width="9.140625" style="5"/>
  </cols>
  <sheetData>
    <row r="1" spans="1:14" x14ac:dyDescent="0.2">
      <c r="A1" s="16" t="s">
        <v>55</v>
      </c>
    </row>
    <row r="2" spans="1:14" x14ac:dyDescent="0.2">
      <c r="A2" s="16"/>
    </row>
    <row r="3" spans="1:14" x14ac:dyDescent="0.2">
      <c r="A3" s="16"/>
    </row>
    <row r="4" spans="1:14" x14ac:dyDescent="0.2">
      <c r="A4" s="16"/>
    </row>
    <row r="6" spans="1:14" x14ac:dyDescent="0.2">
      <c r="A6" s="16" t="s">
        <v>51</v>
      </c>
      <c r="E6" s="8"/>
    </row>
    <row r="7" spans="1:14" ht="63.75" x14ac:dyDescent="0.2">
      <c r="A7" s="16"/>
      <c r="D7" s="136" t="s">
        <v>54</v>
      </c>
      <c r="E7" s="136" t="s">
        <v>80</v>
      </c>
      <c r="F7" s="136" t="s">
        <v>144</v>
      </c>
    </row>
    <row r="8" spans="1:14" x14ac:dyDescent="0.2">
      <c r="B8" s="123"/>
      <c r="C8" s="123" t="s">
        <v>84</v>
      </c>
      <c r="D8" s="11">
        <v>1</v>
      </c>
      <c r="E8" s="11">
        <v>3.6</v>
      </c>
      <c r="F8" s="11">
        <v>3.24</v>
      </c>
    </row>
    <row r="9" spans="1:14" x14ac:dyDescent="0.2">
      <c r="B9" s="123"/>
      <c r="C9" s="123" t="s">
        <v>83</v>
      </c>
      <c r="D9" s="11">
        <v>1</v>
      </c>
      <c r="E9" s="11">
        <v>2.2999999999999998</v>
      </c>
      <c r="F9" s="11">
        <v>2.5099999999999998</v>
      </c>
    </row>
    <row r="10" spans="1:14" x14ac:dyDescent="0.2">
      <c r="C10" s="25"/>
    </row>
    <row r="11" spans="1:14" x14ac:dyDescent="0.2">
      <c r="B11" s="123"/>
      <c r="C11" s="123" t="s">
        <v>129</v>
      </c>
      <c r="D11" s="133" t="s">
        <v>131</v>
      </c>
      <c r="E11" s="133">
        <v>12</v>
      </c>
      <c r="F11" s="133">
        <v>15.8</v>
      </c>
    </row>
    <row r="12" spans="1:14" ht="13.5" thickBot="1" x14ac:dyDescent="0.25">
      <c r="A12" s="123"/>
      <c r="B12" s="123"/>
      <c r="C12" s="25"/>
    </row>
    <row r="13" spans="1:14" ht="13.5" thickBot="1" x14ac:dyDescent="0.25">
      <c r="A13" s="16"/>
      <c r="D13" s="314" t="s">
        <v>97</v>
      </c>
      <c r="E13" s="315"/>
      <c r="F13" s="316"/>
      <c r="G13" s="25"/>
      <c r="H13" s="25"/>
      <c r="I13" s="25"/>
    </row>
    <row r="14" spans="1:14" ht="63.75" x14ac:dyDescent="0.2">
      <c r="B14" s="46" t="s">
        <v>6</v>
      </c>
      <c r="C14" s="46" t="s">
        <v>82</v>
      </c>
      <c r="D14" s="136" t="str">
        <f>D7</f>
        <v>Electric Resistance/ Electric Boiler</v>
      </c>
      <c r="E14" s="136" t="str">
        <f>E7</f>
        <v>Single Zone RTU Packaged Unit with Heat Pump</v>
      </c>
      <c r="F14" s="136" t="str">
        <f>F7</f>
        <v>Residential Low Ambient Heat Pump</v>
      </c>
      <c r="L14" s="6"/>
      <c r="M14" s="6"/>
      <c r="N14" s="6"/>
    </row>
    <row r="15" spans="1:14" x14ac:dyDescent="0.2">
      <c r="B15" s="9" t="s">
        <v>10</v>
      </c>
      <c r="C15" s="106">
        <v>17</v>
      </c>
      <c r="D15" s="135">
        <f t="shared" ref="D15:D26" si="0" xml:space="preserve"> -(($D$8-$D$9)/(47-17))*(47-$C15)+$D$8</f>
        <v>1</v>
      </c>
      <c r="E15" s="135">
        <f t="shared" ref="E15:E26" si="1" xml:space="preserve"> -(($E$8-$E$9)/(47-17))*(47-$C15)+$E$8</f>
        <v>2.2999999999999998</v>
      </c>
      <c r="F15" s="135">
        <f xml:space="preserve"> -(($F$8-$F$9)/(47-17))*(47-$C15)+$F$8</f>
        <v>2.5099999999999998</v>
      </c>
    </row>
    <row r="16" spans="1:14" x14ac:dyDescent="0.2">
      <c r="B16" s="7" t="s">
        <v>11</v>
      </c>
      <c r="C16" s="106">
        <v>20</v>
      </c>
      <c r="D16" s="135">
        <f t="shared" si="0"/>
        <v>1</v>
      </c>
      <c r="E16" s="135">
        <f t="shared" si="1"/>
        <v>2.4299999999999997</v>
      </c>
      <c r="F16" s="135">
        <f t="shared" ref="F16:F26" si="2" xml:space="preserve"> -(($F$8-$F$9)/(47-17))*(47-C16)+$F$8</f>
        <v>2.5829999999999997</v>
      </c>
    </row>
    <row r="17" spans="1:6" x14ac:dyDescent="0.2">
      <c r="B17" s="7" t="s">
        <v>12</v>
      </c>
      <c r="C17" s="106">
        <v>26</v>
      </c>
      <c r="D17" s="135">
        <f t="shared" si="0"/>
        <v>1</v>
      </c>
      <c r="E17" s="135">
        <f t="shared" si="1"/>
        <v>2.69</v>
      </c>
      <c r="F17" s="135">
        <f t="shared" si="2"/>
        <v>2.7290000000000001</v>
      </c>
    </row>
    <row r="18" spans="1:6" x14ac:dyDescent="0.2">
      <c r="B18" s="7" t="s">
        <v>13</v>
      </c>
      <c r="C18" s="106">
        <v>34</v>
      </c>
      <c r="D18" s="135">
        <f t="shared" si="0"/>
        <v>1</v>
      </c>
      <c r="E18" s="135">
        <f t="shared" si="1"/>
        <v>3.0366666666666666</v>
      </c>
      <c r="F18" s="135">
        <f t="shared" si="2"/>
        <v>2.9236666666666666</v>
      </c>
    </row>
    <row r="19" spans="1:6" x14ac:dyDescent="0.2">
      <c r="B19" s="7" t="s">
        <v>8</v>
      </c>
      <c r="C19" s="106">
        <v>44</v>
      </c>
      <c r="D19" s="135">
        <f t="shared" si="0"/>
        <v>1</v>
      </c>
      <c r="E19" s="135">
        <f t="shared" si="1"/>
        <v>3.47</v>
      </c>
      <c r="F19" s="135">
        <f t="shared" si="2"/>
        <v>3.1670000000000003</v>
      </c>
    </row>
    <row r="20" spans="1:6" x14ac:dyDescent="0.2">
      <c r="B20" s="7" t="s">
        <v>14</v>
      </c>
      <c r="C20" s="106">
        <v>53</v>
      </c>
      <c r="D20" s="135">
        <f t="shared" si="0"/>
        <v>1</v>
      </c>
      <c r="E20" s="135">
        <f t="shared" si="1"/>
        <v>3.8600000000000003</v>
      </c>
      <c r="F20" s="135">
        <f t="shared" si="2"/>
        <v>3.3860000000000001</v>
      </c>
    </row>
    <row r="21" spans="1:6" x14ac:dyDescent="0.2">
      <c r="B21" s="7" t="s">
        <v>15</v>
      </c>
      <c r="C21" s="106">
        <v>59</v>
      </c>
      <c r="D21" s="135">
        <f t="shared" si="0"/>
        <v>1</v>
      </c>
      <c r="E21" s="135">
        <f t="shared" si="1"/>
        <v>4.12</v>
      </c>
      <c r="F21" s="135">
        <f t="shared" si="2"/>
        <v>3.5320000000000005</v>
      </c>
    </row>
    <row r="22" spans="1:6" x14ac:dyDescent="0.2">
      <c r="B22" s="7" t="s">
        <v>16</v>
      </c>
      <c r="C22" s="106">
        <v>57</v>
      </c>
      <c r="D22" s="135">
        <f t="shared" si="0"/>
        <v>1</v>
      </c>
      <c r="E22" s="135">
        <f t="shared" si="1"/>
        <v>4.0333333333333332</v>
      </c>
      <c r="F22" s="135">
        <f t="shared" si="2"/>
        <v>3.4833333333333338</v>
      </c>
    </row>
    <row r="23" spans="1:6" x14ac:dyDescent="0.2">
      <c r="B23" s="7" t="s">
        <v>17</v>
      </c>
      <c r="C23" s="106">
        <v>47</v>
      </c>
      <c r="D23" s="135">
        <f t="shared" si="0"/>
        <v>1</v>
      </c>
      <c r="E23" s="135">
        <f t="shared" si="1"/>
        <v>3.6</v>
      </c>
      <c r="F23" s="135">
        <f t="shared" si="2"/>
        <v>3.24</v>
      </c>
    </row>
    <row r="24" spans="1:6" x14ac:dyDescent="0.2">
      <c r="B24" s="7" t="s">
        <v>18</v>
      </c>
      <c r="C24" s="106">
        <v>36</v>
      </c>
      <c r="D24" s="135">
        <f t="shared" si="0"/>
        <v>1</v>
      </c>
      <c r="E24" s="135">
        <f t="shared" si="1"/>
        <v>3.1233333333333335</v>
      </c>
      <c r="F24" s="135">
        <f t="shared" si="2"/>
        <v>2.9723333333333333</v>
      </c>
    </row>
    <row r="25" spans="1:6" x14ac:dyDescent="0.2">
      <c r="B25" s="7" t="s">
        <v>19</v>
      </c>
      <c r="C25" s="106">
        <v>25</v>
      </c>
      <c r="D25" s="135">
        <f t="shared" si="0"/>
        <v>1</v>
      </c>
      <c r="E25" s="135">
        <f t="shared" si="1"/>
        <v>2.6466666666666665</v>
      </c>
      <c r="F25" s="135">
        <f t="shared" si="2"/>
        <v>2.7046666666666663</v>
      </c>
    </row>
    <row r="26" spans="1:6" x14ac:dyDescent="0.2">
      <c r="B26" s="7" t="s">
        <v>20</v>
      </c>
      <c r="C26" s="106">
        <v>17</v>
      </c>
      <c r="D26" s="135">
        <f t="shared" si="0"/>
        <v>1</v>
      </c>
      <c r="E26" s="135">
        <f t="shared" si="1"/>
        <v>2.2999999999999998</v>
      </c>
      <c r="F26" s="135">
        <f t="shared" si="2"/>
        <v>2.5099999999999998</v>
      </c>
    </row>
    <row r="28" spans="1:6" x14ac:dyDescent="0.2">
      <c r="A28" s="111" t="s">
        <v>98</v>
      </c>
    </row>
    <row r="29" spans="1:6" x14ac:dyDescent="0.2">
      <c r="A29" s="25"/>
      <c r="B29" s="112" t="s">
        <v>86</v>
      </c>
      <c r="C29" s="112" t="s">
        <v>81</v>
      </c>
      <c r="D29" s="112" t="s">
        <v>88</v>
      </c>
    </row>
    <row r="30" spans="1:6" ht="51" x14ac:dyDescent="0.2">
      <c r="A30" s="25"/>
      <c r="B30" s="109" t="s">
        <v>52</v>
      </c>
      <c r="C30" s="109" t="s">
        <v>110</v>
      </c>
      <c r="D30" s="110" t="s">
        <v>88</v>
      </c>
    </row>
    <row r="31" spans="1:6" ht="51" x14ac:dyDescent="0.2">
      <c r="A31" s="25"/>
      <c r="B31" s="109" t="s">
        <v>53</v>
      </c>
      <c r="C31" s="109" t="s">
        <v>111</v>
      </c>
      <c r="D31" s="110"/>
    </row>
    <row r="32" spans="1:6" ht="51" x14ac:dyDescent="0.2">
      <c r="A32" s="25"/>
      <c r="B32" s="110"/>
      <c r="C32" s="109" t="s">
        <v>112</v>
      </c>
      <c r="D32" s="110"/>
    </row>
    <row r="33" spans="1:4" x14ac:dyDescent="0.2">
      <c r="A33" s="25"/>
    </row>
    <row r="34" spans="1:4" x14ac:dyDescent="0.2">
      <c r="A34" s="16" t="s">
        <v>87</v>
      </c>
    </row>
    <row r="35" spans="1:4" x14ac:dyDescent="0.2">
      <c r="A35" s="16"/>
    </row>
    <row r="36" spans="1:4" x14ac:dyDescent="0.2">
      <c r="A36" s="30" t="s">
        <v>52</v>
      </c>
      <c r="B36" s="30"/>
      <c r="C36" s="30"/>
    </row>
    <row r="37" spans="1:4" ht="25.5" x14ac:dyDescent="0.2">
      <c r="A37" s="1"/>
      <c r="B37" s="46" t="s">
        <v>0</v>
      </c>
      <c r="C37" s="46" t="s">
        <v>1</v>
      </c>
      <c r="D37" s="46" t="s">
        <v>2</v>
      </c>
    </row>
    <row r="38" spans="1:4" x14ac:dyDescent="0.2">
      <c r="A38" s="2" t="s">
        <v>9</v>
      </c>
      <c r="B38" s="42">
        <v>25.07</v>
      </c>
      <c r="C38" s="43">
        <v>4.5499999999999999E-2</v>
      </c>
      <c r="D38" s="43">
        <v>4.5499999999999999E-2</v>
      </c>
    </row>
    <row r="39" spans="1:4" x14ac:dyDescent="0.2">
      <c r="A39" s="2" t="s">
        <v>7</v>
      </c>
      <c r="B39" s="42">
        <v>20.52</v>
      </c>
      <c r="C39" s="43">
        <v>4.5499999999999999E-2</v>
      </c>
      <c r="D39" s="43">
        <v>4.5499999999999999E-2</v>
      </c>
    </row>
    <row r="40" spans="1:4" x14ac:dyDescent="0.2">
      <c r="A40" s="2" t="s">
        <v>3</v>
      </c>
      <c r="B40" s="32" t="s">
        <v>4</v>
      </c>
      <c r="C40" s="3"/>
      <c r="D40" s="3"/>
    </row>
    <row r="41" spans="1:4" x14ac:dyDescent="0.2">
      <c r="A41" s="2" t="s">
        <v>68</v>
      </c>
      <c r="B41" s="33" t="s">
        <v>70</v>
      </c>
      <c r="C41" s="1"/>
      <c r="D41" s="1"/>
    </row>
    <row r="43" spans="1:4" x14ac:dyDescent="0.2">
      <c r="A43" s="30" t="s">
        <v>53</v>
      </c>
    </row>
    <row r="44" spans="1:4" ht="25.5" x14ac:dyDescent="0.2">
      <c r="A44" s="1"/>
      <c r="B44" s="46" t="s">
        <v>0</v>
      </c>
      <c r="C44" s="46" t="s">
        <v>1</v>
      </c>
      <c r="D44" s="46" t="s">
        <v>2</v>
      </c>
    </row>
    <row r="45" spans="1:4" x14ac:dyDescent="0.2">
      <c r="A45" s="2" t="s">
        <v>9</v>
      </c>
      <c r="B45" s="42">
        <v>23.48</v>
      </c>
      <c r="C45" s="43">
        <v>5.3400000000000003E-2</v>
      </c>
      <c r="D45" s="43">
        <v>3.8899999999999997E-2</v>
      </c>
    </row>
    <row r="46" spans="1:4" x14ac:dyDescent="0.2">
      <c r="A46" s="2" t="s">
        <v>7</v>
      </c>
      <c r="B46" s="42">
        <v>18.34</v>
      </c>
      <c r="C46" s="43">
        <v>5.3400000000000003E-2</v>
      </c>
      <c r="D46" s="43">
        <v>3.8899999999999997E-2</v>
      </c>
    </row>
    <row r="47" spans="1:4" x14ac:dyDescent="0.2">
      <c r="A47" s="2" t="s">
        <v>3</v>
      </c>
      <c r="B47" s="32" t="s">
        <v>4</v>
      </c>
      <c r="C47" s="3"/>
      <c r="D47" s="3"/>
    </row>
    <row r="48" spans="1:4" x14ac:dyDescent="0.2">
      <c r="A48" s="2" t="s">
        <v>68</v>
      </c>
      <c r="B48" s="33" t="s">
        <v>69</v>
      </c>
      <c r="C48" s="1"/>
      <c r="D48" s="1"/>
    </row>
    <row r="50" spans="1:11" x14ac:dyDescent="0.2">
      <c r="A50" s="16" t="s">
        <v>85</v>
      </c>
    </row>
    <row r="51" spans="1:11" x14ac:dyDescent="0.2">
      <c r="A51" s="16"/>
    </row>
    <row r="52" spans="1:11" x14ac:dyDescent="0.2">
      <c r="A52" s="30" t="s">
        <v>110</v>
      </c>
      <c r="B52" s="30"/>
      <c r="C52" s="30"/>
      <c r="K52" s="30" t="s">
        <v>109</v>
      </c>
    </row>
    <row r="53" spans="1:11" ht="25.5" x14ac:dyDescent="0.2">
      <c r="A53" s="1"/>
      <c r="B53" s="46" t="s">
        <v>0</v>
      </c>
      <c r="C53" s="46" t="s">
        <v>1</v>
      </c>
      <c r="D53" s="46" t="s">
        <v>2</v>
      </c>
      <c r="F53" s="46" t="s">
        <v>105</v>
      </c>
      <c r="G53" s="46" t="s">
        <v>106</v>
      </c>
      <c r="H53" s="46" t="s">
        <v>107</v>
      </c>
    </row>
    <row r="54" spans="1:11" x14ac:dyDescent="0.2">
      <c r="A54" s="2" t="s">
        <v>9</v>
      </c>
      <c r="B54" s="47">
        <v>0</v>
      </c>
      <c r="C54" s="48">
        <f>F54*(1-$H54)+G54*$H54</f>
        <v>0.10600000000000001</v>
      </c>
      <c r="D54" s="48">
        <f>C54</f>
        <v>0.10600000000000001</v>
      </c>
      <c r="F54" s="48">
        <v>0.1</v>
      </c>
      <c r="G54" s="48">
        <v>0.14000000000000001</v>
      </c>
      <c r="H54" s="49">
        <v>0.15</v>
      </c>
    </row>
    <row r="55" spans="1:11" x14ac:dyDescent="0.2">
      <c r="A55" s="2" t="s">
        <v>7</v>
      </c>
      <c r="B55" s="47">
        <v>0</v>
      </c>
      <c r="C55" s="48">
        <v>0.09</v>
      </c>
      <c r="D55" s="48">
        <f>C55</f>
        <v>0.09</v>
      </c>
      <c r="F55" s="48">
        <v>0.09</v>
      </c>
      <c r="G55" s="48">
        <v>0.09</v>
      </c>
      <c r="H55" s="122" t="s">
        <v>108</v>
      </c>
    </row>
    <row r="56" spans="1:11" x14ac:dyDescent="0.2">
      <c r="A56" s="2" t="s">
        <v>3</v>
      </c>
      <c r="B56" s="32" t="s">
        <v>4</v>
      </c>
      <c r="C56" s="3"/>
      <c r="D56" s="3"/>
    </row>
    <row r="57" spans="1:11" x14ac:dyDescent="0.2">
      <c r="A57" s="2" t="s">
        <v>68</v>
      </c>
      <c r="B57" s="33" t="s">
        <v>69</v>
      </c>
      <c r="C57" s="1"/>
      <c r="D57" s="1"/>
    </row>
    <row r="59" spans="1:11" x14ac:dyDescent="0.2">
      <c r="A59" s="30" t="s">
        <v>111</v>
      </c>
      <c r="B59" s="30"/>
      <c r="C59" s="30"/>
    </row>
    <row r="60" spans="1:11" ht="25.5" x14ac:dyDescent="0.2">
      <c r="A60" s="1"/>
      <c r="B60" s="46" t="s">
        <v>0</v>
      </c>
      <c r="C60" s="46" t="s">
        <v>103</v>
      </c>
      <c r="D60" s="46" t="s">
        <v>2</v>
      </c>
      <c r="F60" s="46" t="s">
        <v>102</v>
      </c>
      <c r="G60" s="46" t="s">
        <v>1</v>
      </c>
      <c r="H60" s="46" t="s">
        <v>56</v>
      </c>
    </row>
    <row r="61" spans="1:11" x14ac:dyDescent="0.2">
      <c r="A61" s="2" t="s">
        <v>9</v>
      </c>
      <c r="B61" s="47">
        <v>0</v>
      </c>
      <c r="C61" s="48">
        <f>F61*(1-$H61)+G61*$H61</f>
        <v>0.155</v>
      </c>
      <c r="D61" s="48">
        <v>0.08</v>
      </c>
      <c r="F61" s="48">
        <v>0.13</v>
      </c>
      <c r="G61" s="48">
        <v>0.18</v>
      </c>
      <c r="H61" s="49">
        <v>0.5</v>
      </c>
      <c r="J61" s="119"/>
    </row>
    <row r="62" spans="1:11" x14ac:dyDescent="0.2">
      <c r="A62" s="2" t="s">
        <v>7</v>
      </c>
      <c r="B62" s="47">
        <v>0</v>
      </c>
      <c r="C62" s="48">
        <f>F62*(1-$H62)+G62*$H62</f>
        <v>9.8000000000000004E-2</v>
      </c>
      <c r="D62" s="48">
        <v>7.0000000000000007E-2</v>
      </c>
      <c r="F62" s="48">
        <v>0.09</v>
      </c>
      <c r="G62" s="48">
        <v>0.13</v>
      </c>
      <c r="H62" s="49">
        <v>0.2</v>
      </c>
    </row>
    <row r="63" spans="1:11" x14ac:dyDescent="0.2">
      <c r="A63" s="2" t="s">
        <v>3</v>
      </c>
      <c r="B63" s="32" t="s">
        <v>4</v>
      </c>
      <c r="C63" s="3"/>
      <c r="D63" s="3"/>
    </row>
    <row r="64" spans="1:11" x14ac:dyDescent="0.2">
      <c r="A64" s="2" t="s">
        <v>68</v>
      </c>
      <c r="B64" s="33" t="s">
        <v>69</v>
      </c>
      <c r="C64" s="1"/>
      <c r="D64" s="1"/>
    </row>
    <row r="66" spans="1:4" x14ac:dyDescent="0.2">
      <c r="A66" s="30" t="s">
        <v>112</v>
      </c>
      <c r="B66" s="30"/>
      <c r="C66" s="30"/>
    </row>
    <row r="67" spans="1:4" ht="25.5" x14ac:dyDescent="0.2">
      <c r="A67" s="1"/>
      <c r="B67" s="46" t="s">
        <v>0</v>
      </c>
      <c r="C67" s="46" t="s">
        <v>1</v>
      </c>
      <c r="D67" s="46" t="s">
        <v>2</v>
      </c>
    </row>
    <row r="68" spans="1:4" x14ac:dyDescent="0.2">
      <c r="A68" s="2" t="s">
        <v>9</v>
      </c>
      <c r="B68" s="42">
        <f>3.57+11.77</f>
        <v>15.34</v>
      </c>
      <c r="C68" s="48">
        <v>0.04</v>
      </c>
      <c r="D68" s="48">
        <v>0.03</v>
      </c>
    </row>
    <row r="69" spans="1:4" x14ac:dyDescent="0.2">
      <c r="A69" s="2" t="s">
        <v>7</v>
      </c>
      <c r="B69" s="42">
        <f>3.57+9.01</f>
        <v>12.58</v>
      </c>
      <c r="C69" s="48">
        <v>0.04</v>
      </c>
      <c r="D69" s="48">
        <v>0.02</v>
      </c>
    </row>
    <row r="70" spans="1:4" x14ac:dyDescent="0.2">
      <c r="A70" s="2" t="s">
        <v>3</v>
      </c>
      <c r="B70" s="32" t="s">
        <v>4</v>
      </c>
      <c r="C70" s="3"/>
      <c r="D70" s="3"/>
    </row>
    <row r="71" spans="1:4" x14ac:dyDescent="0.2">
      <c r="A71" s="2" t="s">
        <v>68</v>
      </c>
      <c r="B71" s="33" t="s">
        <v>69</v>
      </c>
      <c r="C71" s="1"/>
      <c r="D71" s="1"/>
    </row>
    <row r="73" spans="1:4" x14ac:dyDescent="0.2">
      <c r="A73" s="16" t="s">
        <v>88</v>
      </c>
      <c r="B73" s="124" t="s">
        <v>104</v>
      </c>
    </row>
    <row r="74" spans="1:4" x14ac:dyDescent="0.2">
      <c r="A74" s="16"/>
    </row>
    <row r="75" spans="1:4" x14ac:dyDescent="0.2">
      <c r="A75" s="30" t="s">
        <v>89</v>
      </c>
      <c r="C75" s="30"/>
    </row>
    <row r="76" spans="1:4" ht="25.5" x14ac:dyDescent="0.2">
      <c r="A76" s="1"/>
      <c r="B76" s="46" t="s">
        <v>0</v>
      </c>
      <c r="C76" s="46" t="s">
        <v>1</v>
      </c>
      <c r="D76" s="46" t="s">
        <v>2</v>
      </c>
    </row>
    <row r="77" spans="1:4" x14ac:dyDescent="0.2">
      <c r="A77" s="2" t="s">
        <v>9</v>
      </c>
      <c r="B77" s="115">
        <v>25</v>
      </c>
      <c r="C77" s="116">
        <v>0.05</v>
      </c>
      <c r="D77" s="116">
        <v>0.05</v>
      </c>
    </row>
    <row r="78" spans="1:4" x14ac:dyDescent="0.2">
      <c r="A78" s="2" t="s">
        <v>7</v>
      </c>
      <c r="B78" s="115">
        <v>25</v>
      </c>
      <c r="C78" s="116">
        <v>0.05</v>
      </c>
      <c r="D78" s="116">
        <v>0.05</v>
      </c>
    </row>
    <row r="79" spans="1:4" x14ac:dyDescent="0.2">
      <c r="A79" s="2" t="s">
        <v>3</v>
      </c>
      <c r="B79" s="120" t="s">
        <v>4</v>
      </c>
      <c r="C79" s="3"/>
      <c r="D79" s="3"/>
    </row>
    <row r="80" spans="1:4" x14ac:dyDescent="0.2">
      <c r="A80" s="2" t="s">
        <v>68</v>
      </c>
      <c r="B80" s="121" t="s">
        <v>69</v>
      </c>
      <c r="C80" s="1"/>
      <c r="D80" s="1"/>
    </row>
    <row r="82" spans="1:11" x14ac:dyDescent="0.2">
      <c r="A82" s="16" t="s">
        <v>182</v>
      </c>
    </row>
    <row r="83" spans="1:11" x14ac:dyDescent="0.2">
      <c r="A83" s="31" t="s">
        <v>196</v>
      </c>
    </row>
    <row r="86" spans="1:11" ht="25.5" x14ac:dyDescent="0.2">
      <c r="A86" s="244" t="s">
        <v>194</v>
      </c>
      <c r="D86" s="245" t="s">
        <v>176</v>
      </c>
      <c r="F86" s="245" t="s">
        <v>177</v>
      </c>
      <c r="I86" s="46" t="s">
        <v>176</v>
      </c>
      <c r="J86" s="46" t="s">
        <v>177</v>
      </c>
    </row>
    <row r="87" spans="1:11" x14ac:dyDescent="0.2">
      <c r="A87" s="240" t="s">
        <v>178</v>
      </c>
      <c r="B87" s="146"/>
      <c r="C87" s="146"/>
      <c r="D87" s="247" t="s">
        <v>183</v>
      </c>
      <c r="E87" s="247" t="s">
        <v>184</v>
      </c>
      <c r="F87" s="247" t="s">
        <v>183</v>
      </c>
      <c r="G87" s="247" t="s">
        <v>184</v>
      </c>
      <c r="I87" s="247" t="s">
        <v>201</v>
      </c>
      <c r="J87" s="19"/>
    </row>
    <row r="88" spans="1:11" x14ac:dyDescent="0.2">
      <c r="A88" s="222" t="s">
        <v>179</v>
      </c>
      <c r="B88" s="140"/>
      <c r="C88" s="140"/>
      <c r="D88" s="131">
        <v>14000</v>
      </c>
      <c r="E88" s="131">
        <v>16000</v>
      </c>
      <c r="F88" s="131">
        <v>14000</v>
      </c>
      <c r="G88" s="131">
        <v>16000</v>
      </c>
      <c r="I88" s="239">
        <v>15000</v>
      </c>
      <c r="J88" s="239">
        <v>15000</v>
      </c>
    </row>
    <row r="89" spans="1:11" x14ac:dyDescent="0.2">
      <c r="A89" s="222" t="s">
        <v>180</v>
      </c>
      <c r="B89" s="140"/>
      <c r="C89" s="140"/>
      <c r="D89" s="131">
        <v>3800</v>
      </c>
      <c r="E89" s="131">
        <v>4500</v>
      </c>
      <c r="F89" s="131">
        <v>2000</v>
      </c>
      <c r="G89" s="131">
        <v>3000</v>
      </c>
      <c r="I89" s="131">
        <f>4200-900</f>
        <v>3300</v>
      </c>
      <c r="J89" s="144">
        <v>2600</v>
      </c>
    </row>
    <row r="90" spans="1:11" x14ac:dyDescent="0.2">
      <c r="A90" s="222" t="s">
        <v>193</v>
      </c>
      <c r="B90" s="140"/>
      <c r="C90" s="140"/>
      <c r="D90" s="131">
        <v>0</v>
      </c>
      <c r="E90" s="131">
        <v>1200</v>
      </c>
      <c r="F90" s="246"/>
      <c r="G90" s="246"/>
      <c r="I90" s="144">
        <f>1200+900</f>
        <v>2100</v>
      </c>
      <c r="J90" s="243"/>
    </row>
    <row r="91" spans="1:11" ht="13.5" thickBot="1" x14ac:dyDescent="0.25">
      <c r="A91" s="222" t="s">
        <v>187</v>
      </c>
      <c r="B91" s="140"/>
      <c r="C91" s="140"/>
      <c r="D91" s="249"/>
      <c r="E91" s="249"/>
      <c r="F91" s="249"/>
      <c r="G91" s="249"/>
      <c r="I91" s="243"/>
      <c r="J91" s="144">
        <v>6500</v>
      </c>
      <c r="K91" s="272" t="s">
        <v>188</v>
      </c>
    </row>
    <row r="92" spans="1:11" ht="13.5" thickBot="1" x14ac:dyDescent="0.25">
      <c r="A92" s="244" t="s">
        <v>185</v>
      </c>
      <c r="D92" s="248">
        <f>SUM(D88:D91)</f>
        <v>17800</v>
      </c>
      <c r="E92" s="248">
        <f t="shared" ref="E92:G92" si="3">SUM(E88:E91)</f>
        <v>21700</v>
      </c>
      <c r="F92" s="248">
        <f t="shared" si="3"/>
        <v>16000</v>
      </c>
      <c r="G92" s="248">
        <f t="shared" si="3"/>
        <v>19000</v>
      </c>
      <c r="I92" s="132">
        <f>I88+I89+I90</f>
        <v>20400</v>
      </c>
      <c r="J92" s="132">
        <f>J88+J89+J90</f>
        <v>17600</v>
      </c>
      <c r="K92" s="273">
        <f>(I92-J92)/J92</f>
        <v>0.15909090909090909</v>
      </c>
    </row>
    <row r="93" spans="1:11" x14ac:dyDescent="0.2">
      <c r="A93" s="31" t="s">
        <v>188</v>
      </c>
      <c r="B93" s="31"/>
      <c r="C93" s="31"/>
      <c r="D93" s="31"/>
      <c r="E93" s="31"/>
      <c r="F93" s="250">
        <f>D92-F92</f>
        <v>1800</v>
      </c>
      <c r="G93" s="250">
        <f>E92-G92</f>
        <v>2700</v>
      </c>
      <c r="I93" s="250"/>
      <c r="J93" s="250">
        <f>I92-J92</f>
        <v>2800</v>
      </c>
    </row>
    <row r="95" spans="1:11" ht="25.5" x14ac:dyDescent="0.2">
      <c r="A95" s="244" t="s">
        <v>186</v>
      </c>
      <c r="D95" s="245" t="s">
        <v>176</v>
      </c>
      <c r="F95" s="245" t="s">
        <v>177</v>
      </c>
      <c r="I95" s="46" t="s">
        <v>176</v>
      </c>
      <c r="J95" s="46" t="s">
        <v>177</v>
      </c>
    </row>
    <row r="96" spans="1:11" x14ac:dyDescent="0.2">
      <c r="A96" s="240" t="s">
        <v>178</v>
      </c>
      <c r="B96" s="146"/>
      <c r="C96" s="146"/>
      <c r="D96" s="247" t="s">
        <v>183</v>
      </c>
      <c r="E96" s="247" t="s">
        <v>184</v>
      </c>
      <c r="F96" s="247" t="s">
        <v>183</v>
      </c>
      <c r="G96" s="247" t="s">
        <v>184</v>
      </c>
      <c r="I96" s="247" t="s">
        <v>201</v>
      </c>
      <c r="J96" s="19"/>
    </row>
    <row r="97" spans="1:11" x14ac:dyDescent="0.2">
      <c r="A97" s="222" t="s">
        <v>179</v>
      </c>
      <c r="B97" s="140"/>
      <c r="C97" s="140"/>
      <c r="D97" s="131">
        <v>12000</v>
      </c>
      <c r="E97" s="131">
        <v>15000</v>
      </c>
      <c r="F97" s="131">
        <v>12000</v>
      </c>
      <c r="G97" s="131">
        <v>15000</v>
      </c>
      <c r="I97" s="131">
        <v>13000</v>
      </c>
      <c r="J97" s="131">
        <v>13000</v>
      </c>
    </row>
    <row r="98" spans="1:11" x14ac:dyDescent="0.2">
      <c r="A98" s="222" t="s">
        <v>180</v>
      </c>
      <c r="B98" s="140"/>
      <c r="C98" s="140"/>
      <c r="D98" s="131">
        <v>3800</v>
      </c>
      <c r="E98" s="131">
        <v>4500</v>
      </c>
      <c r="F98" s="131">
        <v>2000</v>
      </c>
      <c r="G98" s="131">
        <v>3000</v>
      </c>
      <c r="I98" s="131">
        <v>3100</v>
      </c>
      <c r="J98" s="131">
        <v>2400</v>
      </c>
    </row>
    <row r="99" spans="1:11" x14ac:dyDescent="0.2">
      <c r="A99" s="222" t="s">
        <v>193</v>
      </c>
      <c r="B99" s="140"/>
      <c r="C99" s="140"/>
      <c r="D99" s="131">
        <v>0</v>
      </c>
      <c r="E99" s="131">
        <v>1200</v>
      </c>
      <c r="F99" s="246"/>
      <c r="G99" s="246"/>
      <c r="I99" s="131">
        <v>500</v>
      </c>
      <c r="J99" s="246"/>
    </row>
    <row r="100" spans="1:11" ht="13.5" thickBot="1" x14ac:dyDescent="0.25">
      <c r="A100" s="222" t="s">
        <v>187</v>
      </c>
      <c r="B100" s="140"/>
      <c r="C100" s="140"/>
      <c r="D100" s="249"/>
      <c r="E100" s="249"/>
      <c r="F100" s="141">
        <v>5000</v>
      </c>
      <c r="G100" s="141">
        <v>8000</v>
      </c>
      <c r="I100" s="249"/>
      <c r="J100" s="141">
        <v>6500</v>
      </c>
      <c r="K100" s="272" t="s">
        <v>188</v>
      </c>
    </row>
    <row r="101" spans="1:11" x14ac:dyDescent="0.2">
      <c r="A101" s="244" t="s">
        <v>185</v>
      </c>
      <c r="D101" s="248">
        <f>SUM(D97:D100)</f>
        <v>15800</v>
      </c>
      <c r="E101" s="248">
        <f t="shared" ref="E101" si="4">SUM(E97:E100)</f>
        <v>20700</v>
      </c>
      <c r="F101" s="248">
        <f t="shared" ref="F101" si="5">SUM(F97:F100)</f>
        <v>19000</v>
      </c>
      <c r="G101" s="248">
        <f t="shared" ref="G101" si="6">SUM(G97:G100)</f>
        <v>26000</v>
      </c>
      <c r="I101" s="248">
        <f>SUM(I97:I100)</f>
        <v>16600</v>
      </c>
      <c r="J101" s="248">
        <f>SUM(J97:J100)</f>
        <v>21900</v>
      </c>
      <c r="K101" s="273">
        <f>(I101-J101)/J101</f>
        <v>-0.24200913242009131</v>
      </c>
    </row>
    <row r="102" spans="1:11" x14ac:dyDescent="0.2">
      <c r="A102" s="31" t="s">
        <v>188</v>
      </c>
      <c r="B102" s="31"/>
      <c r="C102" s="31"/>
      <c r="D102" s="31"/>
      <c r="E102" s="31"/>
      <c r="F102" s="250">
        <f>D101-F101</f>
        <v>-3200</v>
      </c>
      <c r="G102" s="250">
        <f>E101-G101</f>
        <v>-5300</v>
      </c>
      <c r="I102" s="250"/>
      <c r="J102" s="250">
        <f>I101-J101</f>
        <v>-5300</v>
      </c>
    </row>
    <row r="103" spans="1:11" x14ac:dyDescent="0.2">
      <c r="C103" s="5" t="s">
        <v>190</v>
      </c>
      <c r="D103" s="13">
        <v>9</v>
      </c>
    </row>
    <row r="104" spans="1:11" x14ac:dyDescent="0.2">
      <c r="C104" s="5" t="s">
        <v>191</v>
      </c>
      <c r="D104" s="13">
        <v>10</v>
      </c>
    </row>
    <row r="105" spans="1:11" x14ac:dyDescent="0.2">
      <c r="C105" s="5" t="s">
        <v>189</v>
      </c>
      <c r="D105" s="251">
        <f>D103*D104</f>
        <v>90</v>
      </c>
    </row>
    <row r="106" spans="1:11" x14ac:dyDescent="0.2">
      <c r="D106" s="251"/>
    </row>
    <row r="107" spans="1:11" ht="25.5" x14ac:dyDescent="0.2">
      <c r="A107" s="244" t="s">
        <v>195</v>
      </c>
      <c r="D107" s="245" t="s">
        <v>176</v>
      </c>
      <c r="F107" s="245" t="s">
        <v>177</v>
      </c>
      <c r="I107" s="245" t="s">
        <v>176</v>
      </c>
      <c r="J107" s="245" t="s">
        <v>177</v>
      </c>
    </row>
    <row r="108" spans="1:11" x14ac:dyDescent="0.2">
      <c r="A108" s="240" t="s">
        <v>178</v>
      </c>
      <c r="B108" s="146"/>
      <c r="C108" s="146"/>
      <c r="D108" s="247" t="s">
        <v>183</v>
      </c>
      <c r="E108" s="247" t="s">
        <v>184</v>
      </c>
      <c r="F108" s="247" t="s">
        <v>183</v>
      </c>
      <c r="G108" s="247" t="s">
        <v>184</v>
      </c>
      <c r="I108" s="247" t="s">
        <v>201</v>
      </c>
      <c r="J108" s="247"/>
    </row>
    <row r="109" spans="1:11" x14ac:dyDescent="0.2">
      <c r="A109" s="222" t="s">
        <v>179</v>
      </c>
      <c r="B109" s="140"/>
      <c r="C109" s="140"/>
      <c r="D109" s="239">
        <f>2400*$D$105</f>
        <v>216000</v>
      </c>
      <c r="E109" s="131">
        <f>2600*$D$105</f>
        <v>234000</v>
      </c>
      <c r="F109" s="239">
        <f>2400*$D$105</f>
        <v>216000</v>
      </c>
      <c r="G109" s="131">
        <f>2600*$D$105</f>
        <v>234000</v>
      </c>
      <c r="I109" s="239">
        <f>2600*90</f>
        <v>234000</v>
      </c>
      <c r="J109" s="239">
        <f>2600*90</f>
        <v>234000</v>
      </c>
    </row>
    <row r="110" spans="1:11" x14ac:dyDescent="0.2">
      <c r="A110" s="241" t="s">
        <v>181</v>
      </c>
      <c r="B110" s="142"/>
      <c r="C110" s="142"/>
      <c r="D110" s="242">
        <f>D109/$D$105</f>
        <v>2400</v>
      </c>
      <c r="E110" s="242">
        <f t="shared" ref="E110:G110" si="7">E109/$D$105</f>
        <v>2600</v>
      </c>
      <c r="F110" s="242">
        <f t="shared" si="7"/>
        <v>2400</v>
      </c>
      <c r="G110" s="242">
        <f t="shared" si="7"/>
        <v>2600</v>
      </c>
      <c r="I110" s="242">
        <f t="shared" ref="I110" si="8">I109/$D$105</f>
        <v>2600</v>
      </c>
      <c r="J110" s="242">
        <f t="shared" ref="J110" si="9">J109/$D$105</f>
        <v>2600</v>
      </c>
    </row>
    <row r="111" spans="1:11" x14ac:dyDescent="0.2">
      <c r="A111" s="222" t="s">
        <v>180</v>
      </c>
      <c r="B111" s="140"/>
      <c r="C111" s="140"/>
      <c r="D111" s="131">
        <v>3800</v>
      </c>
      <c r="E111" s="131">
        <v>4500</v>
      </c>
      <c r="F111" s="144">
        <v>2000</v>
      </c>
      <c r="G111" s="144">
        <v>3000</v>
      </c>
      <c r="I111" s="131">
        <v>4200</v>
      </c>
      <c r="J111" s="144">
        <v>2600</v>
      </c>
    </row>
    <row r="112" spans="1:11" x14ac:dyDescent="0.2">
      <c r="A112" s="222" t="s">
        <v>193</v>
      </c>
      <c r="B112" s="140"/>
      <c r="C112" s="140"/>
      <c r="D112" s="144">
        <v>2000</v>
      </c>
      <c r="E112" s="144">
        <v>2000</v>
      </c>
      <c r="F112" s="243"/>
      <c r="G112" s="243"/>
      <c r="I112" s="144">
        <v>3000</v>
      </c>
      <c r="J112" s="243"/>
    </row>
    <row r="113" spans="1:11" ht="13.5" thickBot="1" x14ac:dyDescent="0.25">
      <c r="A113" s="222" t="s">
        <v>187</v>
      </c>
      <c r="B113" s="140"/>
      <c r="C113" s="140"/>
      <c r="D113" s="249"/>
      <c r="E113" s="249"/>
      <c r="F113" s="249"/>
      <c r="G113" s="249"/>
      <c r="I113" s="249"/>
      <c r="J113" s="249"/>
      <c r="K113" s="272" t="s">
        <v>188</v>
      </c>
    </row>
    <row r="114" spans="1:11" x14ac:dyDescent="0.2">
      <c r="A114" s="244" t="s">
        <v>185</v>
      </c>
      <c r="D114" s="248">
        <f>SUM(D109,D111:D113)</f>
        <v>221800</v>
      </c>
      <c r="E114" s="248">
        <f t="shared" ref="E114" si="10">SUM(E109,E111:E113)</f>
        <v>240500</v>
      </c>
      <c r="F114" s="248">
        <f t="shared" ref="F114" si="11">SUM(F109,F111:F113)</f>
        <v>218000</v>
      </c>
      <c r="G114" s="248">
        <f t="shared" ref="G114" si="12">SUM(G109,G111:G113)</f>
        <v>237000</v>
      </c>
      <c r="I114" s="248">
        <f>SUM(I109,I111:I113)</f>
        <v>241200</v>
      </c>
      <c r="J114" s="248">
        <f t="shared" ref="J114" si="13">SUM(J109,J111:J113)</f>
        <v>236600</v>
      </c>
      <c r="K114" s="273">
        <f>(I114-J114)/J114</f>
        <v>1.944209636517329E-2</v>
      </c>
    </row>
    <row r="115" spans="1:11" x14ac:dyDescent="0.2">
      <c r="D115" s="31"/>
      <c r="E115" s="31"/>
      <c r="F115" s="250">
        <f>D114-F114</f>
        <v>3800</v>
      </c>
      <c r="G115" s="250">
        <f>E114-G114</f>
        <v>3500</v>
      </c>
      <c r="J115" s="250">
        <f>I114-J114</f>
        <v>4600</v>
      </c>
    </row>
    <row r="117" spans="1:11" ht="25.5" x14ac:dyDescent="0.2">
      <c r="A117" s="244" t="s">
        <v>192</v>
      </c>
      <c r="D117" s="245" t="s">
        <v>176</v>
      </c>
      <c r="F117" s="245" t="s">
        <v>177</v>
      </c>
      <c r="I117" s="245" t="s">
        <v>176</v>
      </c>
      <c r="J117" s="245" t="s">
        <v>177</v>
      </c>
    </row>
    <row r="118" spans="1:11" x14ac:dyDescent="0.2">
      <c r="A118" s="240" t="s">
        <v>178</v>
      </c>
      <c r="B118" s="146"/>
      <c r="C118" s="146"/>
      <c r="D118" s="247" t="s">
        <v>183</v>
      </c>
      <c r="E118" s="247" t="s">
        <v>184</v>
      </c>
      <c r="F118" s="247" t="s">
        <v>183</v>
      </c>
      <c r="G118" s="247" t="s">
        <v>184</v>
      </c>
      <c r="I118" s="247" t="s">
        <v>201</v>
      </c>
      <c r="J118" s="247"/>
    </row>
    <row r="119" spans="1:11" x14ac:dyDescent="0.2">
      <c r="A119" s="222" t="s">
        <v>179</v>
      </c>
      <c r="B119" s="140"/>
      <c r="C119" s="140"/>
      <c r="D119" s="239">
        <f>2400*$D$105</f>
        <v>216000</v>
      </c>
      <c r="E119" s="131">
        <f>2600*$D$105</f>
        <v>234000</v>
      </c>
      <c r="F119" s="239">
        <f>2400*$D$105</f>
        <v>216000</v>
      </c>
      <c r="G119" s="131">
        <f>2600*$D$105</f>
        <v>234000</v>
      </c>
      <c r="I119" s="239">
        <f>2400*$D$105</f>
        <v>216000</v>
      </c>
      <c r="J119" s="131">
        <v>216000</v>
      </c>
    </row>
    <row r="120" spans="1:11" x14ac:dyDescent="0.2">
      <c r="A120" s="241" t="s">
        <v>181</v>
      </c>
      <c r="B120" s="142"/>
      <c r="C120" s="142"/>
      <c r="D120" s="242">
        <f>D119/$D$105</f>
        <v>2400</v>
      </c>
      <c r="E120" s="242">
        <f t="shared" ref="E120:G120" si="14">E119/$D$105</f>
        <v>2600</v>
      </c>
      <c r="F120" s="242">
        <f t="shared" si="14"/>
        <v>2400</v>
      </c>
      <c r="G120" s="242">
        <f t="shared" si="14"/>
        <v>2600</v>
      </c>
      <c r="I120" s="242">
        <f t="shared" ref="I120" si="15">I119/$D$105</f>
        <v>2400</v>
      </c>
      <c r="J120" s="242">
        <f t="shared" ref="J120" si="16">J119/$D$105</f>
        <v>2400</v>
      </c>
    </row>
    <row r="121" spans="1:11" x14ac:dyDescent="0.2">
      <c r="A121" s="222" t="s">
        <v>180</v>
      </c>
      <c r="B121" s="140"/>
      <c r="C121" s="140"/>
      <c r="D121" s="131">
        <v>3800</v>
      </c>
      <c r="E121" s="131">
        <v>4500</v>
      </c>
      <c r="F121" s="144">
        <v>2000</v>
      </c>
      <c r="G121" s="144">
        <v>3000</v>
      </c>
      <c r="I121" s="131">
        <v>3800</v>
      </c>
      <c r="J121" s="131">
        <v>2400</v>
      </c>
    </row>
    <row r="122" spans="1:11" x14ac:dyDescent="0.2">
      <c r="A122" s="222" t="s">
        <v>193</v>
      </c>
      <c r="B122" s="140"/>
      <c r="C122" s="140"/>
      <c r="D122" s="144">
        <v>2000</v>
      </c>
      <c r="E122" s="144">
        <v>2000</v>
      </c>
      <c r="F122" s="243"/>
      <c r="G122" s="243"/>
      <c r="I122" s="144">
        <v>1500</v>
      </c>
      <c r="J122" s="243"/>
    </row>
    <row r="123" spans="1:11" ht="13.5" thickBot="1" x14ac:dyDescent="0.25">
      <c r="A123" s="222" t="s">
        <v>187</v>
      </c>
      <c r="B123" s="140"/>
      <c r="C123" s="140"/>
      <c r="D123" s="249"/>
      <c r="E123" s="249"/>
      <c r="F123" s="141">
        <f>2500+1500*$D$103</f>
        <v>16000</v>
      </c>
      <c r="G123" s="141">
        <f>3000*$D$103</f>
        <v>27000</v>
      </c>
      <c r="I123" s="249"/>
      <c r="J123" s="141">
        <f>3000+2000*D103</f>
        <v>21000</v>
      </c>
      <c r="K123" s="272" t="s">
        <v>188</v>
      </c>
    </row>
    <row r="124" spans="1:11" x14ac:dyDescent="0.2">
      <c r="A124" s="244" t="s">
        <v>185</v>
      </c>
      <c r="D124" s="248">
        <f>SUM(D119,D121:D123)</f>
        <v>221800</v>
      </c>
      <c r="E124" s="248">
        <f t="shared" ref="E124:G124" si="17">SUM(E119,E121:E123)</f>
        <v>240500</v>
      </c>
      <c r="F124" s="248">
        <f t="shared" si="17"/>
        <v>234000</v>
      </c>
      <c r="G124" s="248">
        <f t="shared" si="17"/>
        <v>264000</v>
      </c>
      <c r="I124" s="248">
        <f>SUM(I119,I121:I123)</f>
        <v>221300</v>
      </c>
      <c r="J124" s="248">
        <f t="shared" ref="J124" si="18">SUM(J119,J121:J123)</f>
        <v>239400</v>
      </c>
      <c r="K124" s="273">
        <f>(I124-J124)/J124</f>
        <v>-7.5605680868838759E-2</v>
      </c>
    </row>
    <row r="125" spans="1:11" x14ac:dyDescent="0.2">
      <c r="D125" s="31"/>
      <c r="E125" s="31"/>
      <c r="F125" s="250">
        <f>D124-F124</f>
        <v>-12200</v>
      </c>
      <c r="G125" s="250">
        <f>E124-G124</f>
        <v>-23500</v>
      </c>
      <c r="J125" s="250">
        <f>I124-J124</f>
        <v>-18100</v>
      </c>
    </row>
  </sheetData>
  <mergeCells count="1">
    <mergeCell ref="D13:F13"/>
  </mergeCells>
  <conditionalFormatting sqref="D91">
    <cfRule type="expression" dxfId="31" priority="52">
      <formula>$E$19="Retrofit"</formula>
    </cfRule>
  </conditionalFormatting>
  <conditionalFormatting sqref="E91">
    <cfRule type="expression" dxfId="30" priority="51">
      <formula>$E$19="Retrofit"</formula>
    </cfRule>
  </conditionalFormatting>
  <conditionalFormatting sqref="E100">
    <cfRule type="expression" dxfId="29" priority="47">
      <formula>$E$19="Retrofit"</formula>
    </cfRule>
  </conditionalFormatting>
  <conditionalFormatting sqref="F112">
    <cfRule type="expression" dxfId="28" priority="42">
      <formula>$E$19="Retrofit"</formula>
    </cfRule>
  </conditionalFormatting>
  <conditionalFormatting sqref="D100">
    <cfRule type="expression" dxfId="27" priority="48">
      <formula>$E$19="Retrofit"</formula>
    </cfRule>
  </conditionalFormatting>
  <conditionalFormatting sqref="G112">
    <cfRule type="expression" dxfId="26" priority="40">
      <formula>$E$19="Retrofit"</formula>
    </cfRule>
  </conditionalFormatting>
  <conditionalFormatting sqref="F111">
    <cfRule type="expression" dxfId="25" priority="43">
      <formula>$E$19="Retrofit"</formula>
    </cfRule>
  </conditionalFormatting>
  <conditionalFormatting sqref="G111">
    <cfRule type="expression" dxfId="24" priority="41">
      <formula>$E$19="Retrofit"</formula>
    </cfRule>
  </conditionalFormatting>
  <conditionalFormatting sqref="E113">
    <cfRule type="expression" dxfId="23" priority="38">
      <formula>$E$19="Retrofit"</formula>
    </cfRule>
  </conditionalFormatting>
  <conditionalFormatting sqref="D113">
    <cfRule type="expression" dxfId="22" priority="39">
      <formula>$E$19="Retrofit"</formula>
    </cfRule>
  </conditionalFormatting>
  <conditionalFormatting sqref="F122">
    <cfRule type="expression" dxfId="21" priority="36">
      <formula>$E$19="Retrofit"</formula>
    </cfRule>
  </conditionalFormatting>
  <conditionalFormatting sqref="G122">
    <cfRule type="expression" dxfId="20" priority="34">
      <formula>$E$19="Retrofit"</formula>
    </cfRule>
  </conditionalFormatting>
  <conditionalFormatting sqref="F121">
    <cfRule type="expression" dxfId="19" priority="37">
      <formula>$E$19="Retrofit"</formula>
    </cfRule>
  </conditionalFormatting>
  <conditionalFormatting sqref="G121">
    <cfRule type="expression" dxfId="18" priority="35">
      <formula>$E$19="Retrofit"</formula>
    </cfRule>
  </conditionalFormatting>
  <conditionalFormatting sqref="E123">
    <cfRule type="expression" dxfId="17" priority="32">
      <formula>$E$19="Retrofit"</formula>
    </cfRule>
  </conditionalFormatting>
  <conditionalFormatting sqref="D123">
    <cfRule type="expression" dxfId="16" priority="33">
      <formula>$E$19="Retrofit"</formula>
    </cfRule>
  </conditionalFormatting>
  <conditionalFormatting sqref="F91">
    <cfRule type="expression" dxfId="15" priority="31">
      <formula>$E$19="Retrofit"</formula>
    </cfRule>
  </conditionalFormatting>
  <conditionalFormatting sqref="G91">
    <cfRule type="expression" dxfId="14" priority="30">
      <formula>$E$19="Retrofit"</formula>
    </cfRule>
  </conditionalFormatting>
  <conditionalFormatting sqref="F113">
    <cfRule type="expression" dxfId="13" priority="29">
      <formula>$E$19="Retrofit"</formula>
    </cfRule>
  </conditionalFormatting>
  <conditionalFormatting sqref="G113">
    <cfRule type="expression" dxfId="12" priority="28">
      <formula>$E$19="Retrofit"</formula>
    </cfRule>
  </conditionalFormatting>
  <conditionalFormatting sqref="J89">
    <cfRule type="expression" dxfId="11" priority="17">
      <formula>$E$19="Retrofit"</formula>
    </cfRule>
  </conditionalFormatting>
  <conditionalFormatting sqref="J122">
    <cfRule type="expression" dxfId="10" priority="2">
      <formula>$E$19="Retrofit"</formula>
    </cfRule>
  </conditionalFormatting>
  <conditionalFormatting sqref="J91">
    <cfRule type="expression" dxfId="9" priority="21">
      <formula>$E$19&lt;&gt;"NC"</formula>
    </cfRule>
  </conditionalFormatting>
  <conditionalFormatting sqref="J91">
    <cfRule type="expression" dxfId="8" priority="20">
      <formula>$E$19="Retrofit"</formula>
    </cfRule>
  </conditionalFormatting>
  <conditionalFormatting sqref="J90">
    <cfRule type="expression" dxfId="7" priority="19">
      <formula>$E$19="Retrofit"</formula>
    </cfRule>
  </conditionalFormatting>
  <conditionalFormatting sqref="I91">
    <cfRule type="expression" dxfId="6" priority="18">
      <formula>$E$19="Retrofit"</formula>
    </cfRule>
  </conditionalFormatting>
  <conditionalFormatting sqref="I100">
    <cfRule type="expression" dxfId="5" priority="16">
      <formula>$E$19="Retrofit"</formula>
    </cfRule>
  </conditionalFormatting>
  <conditionalFormatting sqref="I113">
    <cfRule type="expression" dxfId="4" priority="15">
      <formula>$E$19="Retrofit"</formula>
    </cfRule>
  </conditionalFormatting>
  <conditionalFormatting sqref="I123">
    <cfRule type="expression" dxfId="3" priority="4">
      <formula>$E$19="Retrofit"</formula>
    </cfRule>
  </conditionalFormatting>
  <conditionalFormatting sqref="J112">
    <cfRule type="expression" dxfId="2" priority="10">
      <formula>$E$19="Retrofit"</formula>
    </cfRule>
  </conditionalFormatting>
  <conditionalFormatting sqref="J113">
    <cfRule type="expression" dxfId="1" priority="9">
      <formula>$E$19="Retrofit"</formula>
    </cfRule>
  </conditionalFormatting>
  <conditionalFormatting sqref="J111">
    <cfRule type="expression" dxfId="0" priority="1">
      <formula>$E$19="Retrofit"</formula>
    </cfRule>
  </conditionalFormatting>
  <pageMargins left="0.7" right="0.7" top="0.75" bottom="0.75" header="0.3" footer="0.3"/>
  <pageSetup scale="83" orientation="portrait" r:id="rId1"/>
  <rowBreaks count="1" manualBreakCount="1">
    <brk id="49" max="16383" man="1"/>
  </rowBreaks>
  <colBreaks count="1" manualBreakCount="1">
    <brk id="8"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D46E-4093-4D6C-BEBC-24A2C7CFB44B}">
  <sheetPr>
    <tabColor theme="8" tint="0.59999389629810485"/>
  </sheetPr>
  <dimension ref="A1:S67"/>
  <sheetViews>
    <sheetView workbookViewId="0">
      <selection activeCell="B3" sqref="B3"/>
    </sheetView>
  </sheetViews>
  <sheetFormatPr defaultColWidth="9.140625" defaultRowHeight="12.75" x14ac:dyDescent="0.2"/>
  <cols>
    <col min="1" max="1" width="10.28515625" style="5" customWidth="1"/>
    <col min="2" max="2" width="23.5703125" style="5" customWidth="1"/>
    <col min="3" max="3" width="11.85546875" style="5" customWidth="1"/>
    <col min="4" max="18" width="9.28515625" style="5" customWidth="1"/>
    <col min="19" max="19" width="11.85546875" style="5" bestFit="1" customWidth="1"/>
    <col min="20" max="20" width="9.7109375" style="5" bestFit="1" customWidth="1"/>
    <col min="21" max="16384" width="9.140625" style="5"/>
  </cols>
  <sheetData>
    <row r="1" spans="1:19" x14ac:dyDescent="0.2">
      <c r="A1" s="147" t="s">
        <v>151</v>
      </c>
      <c r="B1" s="148"/>
      <c r="C1" s="199" t="s">
        <v>153</v>
      </c>
      <c r="F1" s="149" t="s">
        <v>152</v>
      </c>
      <c r="G1" s="19"/>
      <c r="H1" s="19"/>
      <c r="I1" s="19"/>
    </row>
    <row r="2" spans="1:19" x14ac:dyDescent="0.2">
      <c r="A2" s="5" t="s">
        <v>156</v>
      </c>
      <c r="B2" s="200">
        <v>2020</v>
      </c>
      <c r="F2" s="153" t="s">
        <v>154</v>
      </c>
      <c r="G2" s="150"/>
      <c r="H2" s="150"/>
      <c r="I2" s="201">
        <v>0.02</v>
      </c>
    </row>
    <row r="3" spans="1:19" x14ac:dyDescent="0.2">
      <c r="A3" s="151"/>
      <c r="B3" s="152"/>
      <c r="F3" s="153" t="s">
        <v>155</v>
      </c>
      <c r="G3" s="150"/>
      <c r="H3" s="150"/>
      <c r="I3" s="201">
        <v>0.01</v>
      </c>
    </row>
    <row r="4" spans="1:19" x14ac:dyDescent="0.2">
      <c r="F4" s="153" t="s">
        <v>157</v>
      </c>
      <c r="G4" s="150"/>
      <c r="H4" s="150"/>
      <c r="I4" s="201">
        <v>1.2999999999999999E-2</v>
      </c>
    </row>
    <row r="5" spans="1:19" x14ac:dyDescent="0.2">
      <c r="F5" s="153" t="s">
        <v>158</v>
      </c>
      <c r="G5" s="150"/>
      <c r="H5" s="150"/>
      <c r="I5" s="201">
        <v>0.08</v>
      </c>
    </row>
    <row r="6" spans="1:19" ht="13.5" thickBot="1" x14ac:dyDescent="0.25">
      <c r="A6" s="16" t="s">
        <v>177</v>
      </c>
    </row>
    <row r="7" spans="1:19" x14ac:dyDescent="0.2">
      <c r="B7" s="154" t="s">
        <v>159</v>
      </c>
      <c r="C7" s="155">
        <v>0</v>
      </c>
      <c r="D7" s="155">
        <v>1</v>
      </c>
      <c r="E7" s="155">
        <v>2</v>
      </c>
      <c r="F7" s="155">
        <v>3</v>
      </c>
      <c r="G7" s="155">
        <v>4</v>
      </c>
      <c r="H7" s="155">
        <v>5</v>
      </c>
      <c r="I7" s="155">
        <v>6</v>
      </c>
      <c r="J7" s="155">
        <v>7</v>
      </c>
      <c r="K7" s="155">
        <v>8</v>
      </c>
      <c r="L7" s="155">
        <v>9</v>
      </c>
      <c r="M7" s="155">
        <v>10</v>
      </c>
      <c r="N7" s="155">
        <v>11</v>
      </c>
      <c r="O7" s="155">
        <v>12</v>
      </c>
      <c r="P7" s="155">
        <v>13</v>
      </c>
      <c r="Q7" s="155">
        <v>14</v>
      </c>
      <c r="R7" s="155">
        <v>15</v>
      </c>
      <c r="S7" s="156"/>
    </row>
    <row r="8" spans="1:19" x14ac:dyDescent="0.2">
      <c r="B8" s="157"/>
      <c r="C8" s="158">
        <f>B2</f>
        <v>2020</v>
      </c>
      <c r="D8" s="158">
        <f t="shared" ref="D8:L8" si="0">$B$2+D7</f>
        <v>2021</v>
      </c>
      <c r="E8" s="158">
        <f t="shared" si="0"/>
        <v>2022</v>
      </c>
      <c r="F8" s="158">
        <f t="shared" si="0"/>
        <v>2023</v>
      </c>
      <c r="G8" s="158">
        <f t="shared" si="0"/>
        <v>2024</v>
      </c>
      <c r="H8" s="158">
        <f t="shared" si="0"/>
        <v>2025</v>
      </c>
      <c r="I8" s="158">
        <f t="shared" si="0"/>
        <v>2026</v>
      </c>
      <c r="J8" s="158">
        <f t="shared" si="0"/>
        <v>2027</v>
      </c>
      <c r="K8" s="158">
        <f t="shared" si="0"/>
        <v>2028</v>
      </c>
      <c r="L8" s="158">
        <f t="shared" si="0"/>
        <v>2029</v>
      </c>
      <c r="M8" s="158">
        <f t="shared" ref="M8:R8" si="1">$B$2+M7</f>
        <v>2030</v>
      </c>
      <c r="N8" s="158">
        <f t="shared" si="1"/>
        <v>2031</v>
      </c>
      <c r="O8" s="158">
        <f t="shared" si="1"/>
        <v>2032</v>
      </c>
      <c r="P8" s="158">
        <f t="shared" si="1"/>
        <v>2033</v>
      </c>
      <c r="Q8" s="158">
        <f t="shared" si="1"/>
        <v>2034</v>
      </c>
      <c r="R8" s="158">
        <f t="shared" si="1"/>
        <v>2035</v>
      </c>
      <c r="S8" s="159" t="s">
        <v>160</v>
      </c>
    </row>
    <row r="9" spans="1:19" x14ac:dyDescent="0.2">
      <c r="B9" s="160" t="s">
        <v>161</v>
      </c>
      <c r="C9" s="161"/>
      <c r="D9" s="161"/>
      <c r="E9" s="161"/>
      <c r="F9" s="161"/>
      <c r="G9" s="161"/>
      <c r="H9" s="161"/>
      <c r="I9" s="161"/>
      <c r="J9" s="161"/>
      <c r="K9" s="161"/>
      <c r="L9" s="161"/>
      <c r="M9" s="161"/>
      <c r="N9" s="161"/>
      <c r="O9" s="161"/>
      <c r="P9" s="161"/>
      <c r="Q9" s="161"/>
      <c r="R9" s="161"/>
      <c r="S9" s="162"/>
    </row>
    <row r="10" spans="1:19" x14ac:dyDescent="0.2">
      <c r="B10" s="157" t="s">
        <v>203</v>
      </c>
      <c r="C10" s="202">
        <f>'Electrification Calculator'!E29</f>
        <v>239400</v>
      </c>
      <c r="D10" s="202">
        <v>0</v>
      </c>
      <c r="E10" s="202">
        <v>0</v>
      </c>
      <c r="F10" s="202">
        <v>0</v>
      </c>
      <c r="G10" s="202">
        <v>0</v>
      </c>
      <c r="H10" s="202">
        <v>0</v>
      </c>
      <c r="I10" s="202">
        <v>0</v>
      </c>
      <c r="J10" s="202">
        <v>0</v>
      </c>
      <c r="K10" s="202">
        <v>0</v>
      </c>
      <c r="L10" s="202">
        <v>0</v>
      </c>
      <c r="M10" s="202">
        <v>0</v>
      </c>
      <c r="N10" s="202">
        <v>0</v>
      </c>
      <c r="O10" s="202">
        <v>0</v>
      </c>
      <c r="P10" s="202">
        <v>0</v>
      </c>
      <c r="Q10" s="202">
        <v>0</v>
      </c>
      <c r="R10" s="202">
        <v>0</v>
      </c>
      <c r="S10" s="163">
        <f>SUM(C10:R10)</f>
        <v>239400</v>
      </c>
    </row>
    <row r="11" spans="1:19" x14ac:dyDescent="0.2">
      <c r="B11" s="157" t="s">
        <v>162</v>
      </c>
      <c r="C11" s="202">
        <v>0</v>
      </c>
      <c r="D11" s="202">
        <v>0</v>
      </c>
      <c r="E11" s="202">
        <v>0</v>
      </c>
      <c r="F11" s="202">
        <v>0</v>
      </c>
      <c r="G11" s="202">
        <v>0</v>
      </c>
      <c r="H11" s="202">
        <v>0</v>
      </c>
      <c r="I11" s="202">
        <v>0</v>
      </c>
      <c r="J11" s="202">
        <v>0</v>
      </c>
      <c r="K11" s="202">
        <v>0</v>
      </c>
      <c r="L11" s="202">
        <v>0</v>
      </c>
      <c r="M11" s="202">
        <v>0</v>
      </c>
      <c r="N11" s="202">
        <v>0</v>
      </c>
      <c r="O11" s="202">
        <v>0</v>
      </c>
      <c r="P11" s="202">
        <v>0</v>
      </c>
      <c r="Q11" s="202">
        <v>0</v>
      </c>
      <c r="R11" s="202">
        <v>0</v>
      </c>
      <c r="S11" s="163">
        <f>SUM(C11:R11)</f>
        <v>0</v>
      </c>
    </row>
    <row r="12" spans="1:19" x14ac:dyDescent="0.2">
      <c r="B12" s="164" t="s">
        <v>163</v>
      </c>
      <c r="C12" s="203">
        <v>0</v>
      </c>
      <c r="D12" s="203">
        <v>0</v>
      </c>
      <c r="E12" s="203">
        <v>0</v>
      </c>
      <c r="F12" s="203">
        <v>0</v>
      </c>
      <c r="G12" s="203">
        <v>0</v>
      </c>
      <c r="H12" s="203">
        <v>0</v>
      </c>
      <c r="I12" s="203">
        <v>0</v>
      </c>
      <c r="J12" s="203">
        <v>0</v>
      </c>
      <c r="K12" s="203">
        <v>0</v>
      </c>
      <c r="L12" s="203">
        <v>0</v>
      </c>
      <c r="M12" s="203">
        <v>0</v>
      </c>
      <c r="N12" s="203">
        <v>0</v>
      </c>
      <c r="O12" s="203">
        <v>0</v>
      </c>
      <c r="P12" s="203">
        <v>0</v>
      </c>
      <c r="Q12" s="203">
        <v>0</v>
      </c>
      <c r="R12" s="203">
        <v>0</v>
      </c>
      <c r="S12" s="165">
        <f>SUM(C12:R12)</f>
        <v>0</v>
      </c>
    </row>
    <row r="13" spans="1:19" x14ac:dyDescent="0.2">
      <c r="B13" s="166" t="s">
        <v>164</v>
      </c>
      <c r="C13" s="167">
        <f t="shared" ref="C13:S13" si="2">SUM(C10:C12)</f>
        <v>239400</v>
      </c>
      <c r="D13" s="167">
        <f t="shared" si="2"/>
        <v>0</v>
      </c>
      <c r="E13" s="167">
        <f t="shared" si="2"/>
        <v>0</v>
      </c>
      <c r="F13" s="167">
        <f t="shared" si="2"/>
        <v>0</v>
      </c>
      <c r="G13" s="167">
        <f t="shared" si="2"/>
        <v>0</v>
      </c>
      <c r="H13" s="167">
        <f t="shared" si="2"/>
        <v>0</v>
      </c>
      <c r="I13" s="167">
        <f t="shared" si="2"/>
        <v>0</v>
      </c>
      <c r="J13" s="167">
        <f t="shared" si="2"/>
        <v>0</v>
      </c>
      <c r="K13" s="167">
        <f t="shared" si="2"/>
        <v>0</v>
      </c>
      <c r="L13" s="167">
        <f t="shared" si="2"/>
        <v>0</v>
      </c>
      <c r="M13" s="167">
        <f t="shared" si="2"/>
        <v>0</v>
      </c>
      <c r="N13" s="167">
        <f t="shared" si="2"/>
        <v>0</v>
      </c>
      <c r="O13" s="167">
        <f t="shared" si="2"/>
        <v>0</v>
      </c>
      <c r="P13" s="167">
        <f t="shared" si="2"/>
        <v>0</v>
      </c>
      <c r="Q13" s="167">
        <f t="shared" si="2"/>
        <v>0</v>
      </c>
      <c r="R13" s="167">
        <f t="shared" si="2"/>
        <v>0</v>
      </c>
      <c r="S13" s="168">
        <f t="shared" si="2"/>
        <v>239400</v>
      </c>
    </row>
    <row r="14" spans="1:19" ht="13.5" thickBot="1" x14ac:dyDescent="0.25">
      <c r="B14" s="169" t="s">
        <v>165</v>
      </c>
      <c r="C14" s="170">
        <f t="shared" ref="C14:L14" si="3">-PV($I$5,C$7,,C13)</f>
        <v>239400</v>
      </c>
      <c r="D14" s="170">
        <f t="shared" si="3"/>
        <v>0</v>
      </c>
      <c r="E14" s="170">
        <f t="shared" si="3"/>
        <v>0</v>
      </c>
      <c r="F14" s="170">
        <f t="shared" si="3"/>
        <v>0</v>
      </c>
      <c r="G14" s="170">
        <f t="shared" si="3"/>
        <v>0</v>
      </c>
      <c r="H14" s="170">
        <f t="shared" si="3"/>
        <v>0</v>
      </c>
      <c r="I14" s="170">
        <f t="shared" si="3"/>
        <v>0</v>
      </c>
      <c r="J14" s="170">
        <f t="shared" si="3"/>
        <v>0</v>
      </c>
      <c r="K14" s="170">
        <f t="shared" si="3"/>
        <v>0</v>
      </c>
      <c r="L14" s="170">
        <f t="shared" si="3"/>
        <v>0</v>
      </c>
      <c r="M14" s="170">
        <f t="shared" ref="M14:R14" si="4">-PV($I$5,M$7,,M13)</f>
        <v>0</v>
      </c>
      <c r="N14" s="170">
        <f t="shared" si="4"/>
        <v>0</v>
      </c>
      <c r="O14" s="170">
        <f t="shared" si="4"/>
        <v>0</v>
      </c>
      <c r="P14" s="170">
        <f t="shared" si="4"/>
        <v>0</v>
      </c>
      <c r="Q14" s="170">
        <f t="shared" si="4"/>
        <v>0</v>
      </c>
      <c r="R14" s="170">
        <f t="shared" si="4"/>
        <v>0</v>
      </c>
      <c r="S14" s="171">
        <f>SUM(C14:R14)</f>
        <v>239400</v>
      </c>
    </row>
    <row r="15" spans="1:19" ht="13.5" thickTop="1" x14ac:dyDescent="0.2">
      <c r="B15" s="172" t="s">
        <v>166</v>
      </c>
      <c r="C15" s="173"/>
      <c r="D15" s="173"/>
      <c r="E15" s="173"/>
      <c r="F15" s="173"/>
      <c r="G15" s="173"/>
      <c r="H15" s="173"/>
      <c r="I15" s="173"/>
      <c r="J15" s="173"/>
      <c r="K15" s="173"/>
      <c r="L15" s="173"/>
      <c r="M15" s="173"/>
      <c r="N15" s="173"/>
      <c r="O15" s="173"/>
      <c r="P15" s="173"/>
      <c r="Q15" s="173"/>
      <c r="R15" s="173"/>
      <c r="S15" s="174"/>
    </row>
    <row r="16" spans="1:19" x14ac:dyDescent="0.2">
      <c r="B16" s="157" t="s">
        <v>154</v>
      </c>
      <c r="C16" s="175"/>
      <c r="D16" s="202">
        <f>'Electrification Calculator'!C40</f>
        <v>50047.94999999999</v>
      </c>
      <c r="E16" s="175">
        <f t="shared" ref="E16:L16" si="5">D16*(1+$I$2)</f>
        <v>51048.908999999992</v>
      </c>
      <c r="F16" s="175">
        <f t="shared" si="5"/>
        <v>52069.887179999991</v>
      </c>
      <c r="G16" s="175">
        <f t="shared" si="5"/>
        <v>53111.284923599989</v>
      </c>
      <c r="H16" s="175">
        <f t="shared" si="5"/>
        <v>54173.51062207199</v>
      </c>
      <c r="I16" s="175">
        <f t="shared" si="5"/>
        <v>55256.98083451343</v>
      </c>
      <c r="J16" s="175">
        <f t="shared" si="5"/>
        <v>56362.1204512037</v>
      </c>
      <c r="K16" s="175">
        <f t="shared" si="5"/>
        <v>57489.362860227775</v>
      </c>
      <c r="L16" s="175">
        <f t="shared" si="5"/>
        <v>58639.150117432335</v>
      </c>
      <c r="M16" s="175">
        <f t="shared" ref="M16:R16" si="6">L16*(1+$I$2)</f>
        <v>59811.933119780981</v>
      </c>
      <c r="N16" s="175">
        <f t="shared" si="6"/>
        <v>61008.1717821766</v>
      </c>
      <c r="O16" s="175">
        <f t="shared" si="6"/>
        <v>62228.335217820131</v>
      </c>
      <c r="P16" s="175">
        <f t="shared" si="6"/>
        <v>63472.901922176534</v>
      </c>
      <c r="Q16" s="175">
        <f t="shared" si="6"/>
        <v>64742.359960620066</v>
      </c>
      <c r="R16" s="175">
        <f t="shared" si="6"/>
        <v>66037.207159832469</v>
      </c>
      <c r="S16" s="163">
        <f>SUM(C16:R16)</f>
        <v>865500.06515145593</v>
      </c>
    </row>
    <row r="17" spans="1:19" x14ac:dyDescent="0.2">
      <c r="B17" s="157" t="s">
        <v>155</v>
      </c>
      <c r="C17" s="175"/>
      <c r="D17" s="202">
        <f>'Electrification Calculator'!C38</f>
        <v>4983.08</v>
      </c>
      <c r="E17" s="175">
        <f t="shared" ref="E17:L17" si="7">D17*(1+$I$3)</f>
        <v>5032.9107999999997</v>
      </c>
      <c r="F17" s="175">
        <f t="shared" si="7"/>
        <v>5083.2399079999996</v>
      </c>
      <c r="G17" s="175">
        <f t="shared" si="7"/>
        <v>5134.0723070799995</v>
      </c>
      <c r="H17" s="175">
        <f t="shared" si="7"/>
        <v>5185.4130301507994</v>
      </c>
      <c r="I17" s="175">
        <f t="shared" si="7"/>
        <v>5237.2671604523075</v>
      </c>
      <c r="J17" s="175">
        <f t="shared" si="7"/>
        <v>5289.6398320568305</v>
      </c>
      <c r="K17" s="175">
        <f t="shared" si="7"/>
        <v>5342.5362303773991</v>
      </c>
      <c r="L17" s="175">
        <f t="shared" si="7"/>
        <v>5395.961592681173</v>
      </c>
      <c r="M17" s="175">
        <f t="shared" ref="M17:R17" si="8">L17*(1+$I$3)</f>
        <v>5449.9212086079851</v>
      </c>
      <c r="N17" s="175">
        <f t="shared" si="8"/>
        <v>5504.4204206940649</v>
      </c>
      <c r="O17" s="175">
        <f t="shared" si="8"/>
        <v>5559.4646249010057</v>
      </c>
      <c r="P17" s="175">
        <f t="shared" si="8"/>
        <v>5615.0592711500158</v>
      </c>
      <c r="Q17" s="175">
        <f t="shared" si="8"/>
        <v>5671.2098638615162</v>
      </c>
      <c r="R17" s="175">
        <f t="shared" si="8"/>
        <v>5727.9219625001315</v>
      </c>
      <c r="S17" s="163">
        <f>SUM(C17:R17)</f>
        <v>80212.118212513218</v>
      </c>
    </row>
    <row r="18" spans="1:19" x14ac:dyDescent="0.2">
      <c r="B18" s="157" t="s">
        <v>204</v>
      </c>
      <c r="C18" s="175"/>
      <c r="D18" s="202">
        <v>0</v>
      </c>
      <c r="E18" s="175">
        <f t="shared" ref="E18:L18" si="9">D18*(1+$I$4)</f>
        <v>0</v>
      </c>
      <c r="F18" s="175">
        <f t="shared" si="9"/>
        <v>0</v>
      </c>
      <c r="G18" s="175">
        <f t="shared" si="9"/>
        <v>0</v>
      </c>
      <c r="H18" s="175">
        <f t="shared" si="9"/>
        <v>0</v>
      </c>
      <c r="I18" s="175">
        <f t="shared" si="9"/>
        <v>0</v>
      </c>
      <c r="J18" s="175">
        <f t="shared" si="9"/>
        <v>0</v>
      </c>
      <c r="K18" s="175">
        <f t="shared" si="9"/>
        <v>0</v>
      </c>
      <c r="L18" s="175">
        <f t="shared" si="9"/>
        <v>0</v>
      </c>
      <c r="M18" s="175">
        <f t="shared" ref="M18:R18" si="10">L18*(1+$I$4)</f>
        <v>0</v>
      </c>
      <c r="N18" s="175">
        <f t="shared" si="10"/>
        <v>0</v>
      </c>
      <c r="O18" s="175">
        <f t="shared" si="10"/>
        <v>0</v>
      </c>
      <c r="P18" s="175">
        <f t="shared" si="10"/>
        <v>0</v>
      </c>
      <c r="Q18" s="175">
        <f t="shared" si="10"/>
        <v>0</v>
      </c>
      <c r="R18" s="175">
        <f t="shared" si="10"/>
        <v>0</v>
      </c>
      <c r="S18" s="176">
        <f>SUM(C18:R18)</f>
        <v>0</v>
      </c>
    </row>
    <row r="19" spans="1:19" x14ac:dyDescent="0.2">
      <c r="B19" s="177" t="s">
        <v>167</v>
      </c>
      <c r="C19" s="178"/>
      <c r="D19" s="178">
        <f t="shared" ref="D19:S19" si="11">SUM(D16:D18)</f>
        <v>55031.029999999992</v>
      </c>
      <c r="E19" s="178">
        <f t="shared" si="11"/>
        <v>56081.81979999999</v>
      </c>
      <c r="F19" s="178">
        <f t="shared" si="11"/>
        <v>57153.127087999994</v>
      </c>
      <c r="G19" s="178">
        <f t="shared" si="11"/>
        <v>58245.357230679991</v>
      </c>
      <c r="H19" s="178">
        <f t="shared" si="11"/>
        <v>59358.923652222787</v>
      </c>
      <c r="I19" s="178">
        <f t="shared" si="11"/>
        <v>60494.247994965735</v>
      </c>
      <c r="J19" s="178">
        <f t="shared" si="11"/>
        <v>61651.760283260533</v>
      </c>
      <c r="K19" s="178">
        <f t="shared" si="11"/>
        <v>62831.899090605177</v>
      </c>
      <c r="L19" s="178">
        <f t="shared" si="11"/>
        <v>64035.11171011351</v>
      </c>
      <c r="M19" s="178">
        <f t="shared" si="11"/>
        <v>65261.854328388967</v>
      </c>
      <c r="N19" s="178">
        <f t="shared" si="11"/>
        <v>66512.59220287067</v>
      </c>
      <c r="O19" s="178">
        <f t="shared" si="11"/>
        <v>67787.799842721142</v>
      </c>
      <c r="P19" s="178">
        <f t="shared" si="11"/>
        <v>69087.961193326555</v>
      </c>
      <c r="Q19" s="178">
        <f t="shared" si="11"/>
        <v>70413.569824481587</v>
      </c>
      <c r="R19" s="178">
        <f t="shared" si="11"/>
        <v>71765.129122332597</v>
      </c>
      <c r="S19" s="179">
        <f t="shared" si="11"/>
        <v>945712.1833639692</v>
      </c>
    </row>
    <row r="20" spans="1:19" ht="13.5" thickBot="1" x14ac:dyDescent="0.25">
      <c r="B20" s="180" t="s">
        <v>212</v>
      </c>
      <c r="C20" s="181"/>
      <c r="D20" s="181">
        <f t="shared" ref="D20:L20" si="12">-PV($I$5,D$7,,D19)</f>
        <v>50954.657407407394</v>
      </c>
      <c r="E20" s="181">
        <f t="shared" si="12"/>
        <v>48081.121227709176</v>
      </c>
      <c r="F20" s="181">
        <f t="shared" si="12"/>
        <v>45369.994957577597</v>
      </c>
      <c r="G20" s="181">
        <f t="shared" si="12"/>
        <v>42812.076351343545</v>
      </c>
      <c r="H20" s="181">
        <f t="shared" si="12"/>
        <v>40398.686031712241</v>
      </c>
      <c r="I20" s="181">
        <f t="shared" si="12"/>
        <v>38121.637687561553</v>
      </c>
      <c r="J20" s="181">
        <f t="shared" si="12"/>
        <v>35973.209976286016</v>
      </c>
      <c r="K20" s="181">
        <f t="shared" si="12"/>
        <v>33946.120032821964</v>
      </c>
      <c r="L20" s="181">
        <f t="shared" si="12"/>
        <v>32033.49849313188</v>
      </c>
      <c r="M20" s="181">
        <f t="shared" ref="M20:R20" si="13">-PV($I$5,M$7,,M19)</f>
        <v>30228.865945241036</v>
      </c>
      <c r="N20" s="181">
        <f t="shared" si="13"/>
        <v>28526.110725927629</v>
      </c>
      <c r="O20" s="181">
        <f t="shared" si="13"/>
        <v>26919.467985885127</v>
      </c>
      <c r="P20" s="181">
        <f t="shared" si="13"/>
        <v>25403.49995062064</v>
      </c>
      <c r="Q20" s="181">
        <f t="shared" si="13"/>
        <v>23973.077308540662</v>
      </c>
      <c r="R20" s="181">
        <f t="shared" si="13"/>
        <v>22623.361661621369</v>
      </c>
      <c r="S20" s="182">
        <f>SUM(C20:R20)</f>
        <v>525365.38574338786</v>
      </c>
    </row>
    <row r="21" spans="1:19" ht="13.5" thickTop="1" x14ac:dyDescent="0.2">
      <c r="B21" s="172" t="s">
        <v>168</v>
      </c>
      <c r="C21" s="183"/>
      <c r="D21" s="184"/>
      <c r="E21" s="184"/>
      <c r="F21" s="184"/>
      <c r="G21" s="184"/>
      <c r="H21" s="184"/>
      <c r="I21" s="184"/>
      <c r="J21" s="184"/>
      <c r="K21" s="184"/>
      <c r="L21" s="184"/>
      <c r="M21" s="184"/>
      <c r="N21" s="184"/>
      <c r="O21" s="184"/>
      <c r="P21" s="184"/>
      <c r="Q21" s="184"/>
      <c r="R21" s="184"/>
      <c r="S21" s="185"/>
    </row>
    <row r="22" spans="1:19" x14ac:dyDescent="0.2">
      <c r="B22" s="186" t="s">
        <v>169</v>
      </c>
      <c r="C22" s="187">
        <f t="shared" ref="C22:R22" si="14">SUM(C19,C13)</f>
        <v>239400</v>
      </c>
      <c r="D22" s="187">
        <f t="shared" si="14"/>
        <v>55031.029999999992</v>
      </c>
      <c r="E22" s="187">
        <f t="shared" si="14"/>
        <v>56081.81979999999</v>
      </c>
      <c r="F22" s="187">
        <f t="shared" si="14"/>
        <v>57153.127087999994</v>
      </c>
      <c r="G22" s="187">
        <f t="shared" si="14"/>
        <v>58245.357230679991</v>
      </c>
      <c r="H22" s="187">
        <f t="shared" si="14"/>
        <v>59358.923652222787</v>
      </c>
      <c r="I22" s="187">
        <f t="shared" si="14"/>
        <v>60494.247994965735</v>
      </c>
      <c r="J22" s="187">
        <f t="shared" si="14"/>
        <v>61651.760283260533</v>
      </c>
      <c r="K22" s="187">
        <f t="shared" si="14"/>
        <v>62831.899090605177</v>
      </c>
      <c r="L22" s="187">
        <f t="shared" si="14"/>
        <v>64035.11171011351</v>
      </c>
      <c r="M22" s="187">
        <f t="shared" si="14"/>
        <v>65261.854328388967</v>
      </c>
      <c r="N22" s="187">
        <f t="shared" si="14"/>
        <v>66512.59220287067</v>
      </c>
      <c r="O22" s="187">
        <f t="shared" si="14"/>
        <v>67787.799842721142</v>
      </c>
      <c r="P22" s="187">
        <f t="shared" si="14"/>
        <v>69087.961193326555</v>
      </c>
      <c r="Q22" s="187">
        <f t="shared" si="14"/>
        <v>70413.569824481587</v>
      </c>
      <c r="R22" s="187">
        <f t="shared" si="14"/>
        <v>71765.129122332597</v>
      </c>
      <c r="S22" s="188">
        <f>SUM(C22:R22)</f>
        <v>1185112.183363969</v>
      </c>
    </row>
    <row r="23" spans="1:19" ht="13.5" thickBot="1" x14ac:dyDescent="0.25">
      <c r="B23" s="189" t="s">
        <v>170</v>
      </c>
      <c r="C23" s="190">
        <f t="shared" ref="C23:L23" si="15">-PV($I$5,C$7,,C22)</f>
        <v>239400</v>
      </c>
      <c r="D23" s="190">
        <f t="shared" si="15"/>
        <v>50954.657407407394</v>
      </c>
      <c r="E23" s="190">
        <f t="shared" si="15"/>
        <v>48081.121227709176</v>
      </c>
      <c r="F23" s="190">
        <f t="shared" si="15"/>
        <v>45369.994957577597</v>
      </c>
      <c r="G23" s="190">
        <f t="shared" si="15"/>
        <v>42812.076351343545</v>
      </c>
      <c r="H23" s="190">
        <f t="shared" si="15"/>
        <v>40398.686031712241</v>
      </c>
      <c r="I23" s="190">
        <f t="shared" si="15"/>
        <v>38121.637687561553</v>
      </c>
      <c r="J23" s="190">
        <f t="shared" si="15"/>
        <v>35973.209976286016</v>
      </c>
      <c r="K23" s="190">
        <f t="shared" si="15"/>
        <v>33946.120032821964</v>
      </c>
      <c r="L23" s="190">
        <f t="shared" si="15"/>
        <v>32033.49849313188</v>
      </c>
      <c r="M23" s="190">
        <f t="shared" ref="M23:R23" si="16">-PV($I$5,M$7,,M22)</f>
        <v>30228.865945241036</v>
      </c>
      <c r="N23" s="190">
        <f t="shared" si="16"/>
        <v>28526.110725927629</v>
      </c>
      <c r="O23" s="190">
        <f t="shared" si="16"/>
        <v>26919.467985885127</v>
      </c>
      <c r="P23" s="190">
        <f t="shared" si="16"/>
        <v>25403.49995062064</v>
      </c>
      <c r="Q23" s="190">
        <f t="shared" si="16"/>
        <v>23973.077308540662</v>
      </c>
      <c r="R23" s="190">
        <f t="shared" si="16"/>
        <v>22623.361661621369</v>
      </c>
      <c r="S23" s="191">
        <f>SUM(C23:R23)</f>
        <v>764765.38574338797</v>
      </c>
    </row>
    <row r="24" spans="1:19" ht="13.5" thickBot="1" x14ac:dyDescent="0.25">
      <c r="C24" s="192"/>
      <c r="D24" s="192"/>
      <c r="E24" s="192"/>
      <c r="F24" s="192"/>
      <c r="G24" s="192"/>
      <c r="H24" s="192"/>
      <c r="I24" s="192"/>
      <c r="J24" s="192"/>
      <c r="K24" s="192"/>
      <c r="L24" s="192"/>
      <c r="M24" s="192"/>
      <c r="N24" s="192"/>
      <c r="O24" s="192"/>
      <c r="P24" s="192"/>
      <c r="Q24" s="192"/>
      <c r="R24" s="192"/>
      <c r="S24" s="193"/>
    </row>
    <row r="25" spans="1:19" ht="13.5" thickBot="1" x14ac:dyDescent="0.25">
      <c r="B25" s="194" t="s">
        <v>202</v>
      </c>
      <c r="C25" s="195">
        <f>SUM(C23:R23)</f>
        <v>764765.38574338797</v>
      </c>
      <c r="D25" s="192"/>
      <c r="E25" s="192"/>
      <c r="F25" s="192"/>
      <c r="G25" s="192"/>
      <c r="H25" s="192"/>
      <c r="I25" s="192"/>
      <c r="J25" s="192"/>
      <c r="K25" s="192"/>
      <c r="L25" s="192"/>
      <c r="M25" s="192"/>
      <c r="N25" s="192"/>
      <c r="O25" s="192"/>
      <c r="P25" s="192"/>
      <c r="Q25" s="192"/>
      <c r="R25" s="192"/>
      <c r="S25" s="193"/>
    </row>
    <row r="26" spans="1:19" x14ac:dyDescent="0.2">
      <c r="C26" s="192"/>
      <c r="D26" s="192"/>
      <c r="E26" s="192"/>
      <c r="F26" s="192"/>
      <c r="G26" s="192"/>
      <c r="H26" s="192"/>
      <c r="I26" s="192"/>
      <c r="J26" s="192"/>
      <c r="K26" s="192"/>
      <c r="L26" s="192"/>
      <c r="M26" s="192"/>
      <c r="N26" s="192"/>
      <c r="O26" s="192"/>
      <c r="P26" s="192"/>
      <c r="Q26" s="192"/>
      <c r="R26" s="192"/>
      <c r="S26" s="193"/>
    </row>
    <row r="27" spans="1:19" ht="13.5" thickBot="1" x14ac:dyDescent="0.25">
      <c r="A27" s="16" t="s">
        <v>228</v>
      </c>
    </row>
    <row r="28" spans="1:19" x14ac:dyDescent="0.2">
      <c r="B28" s="154" t="s">
        <v>159</v>
      </c>
      <c r="C28" s="155">
        <v>0</v>
      </c>
      <c r="D28" s="155">
        <v>1</v>
      </c>
      <c r="E28" s="155">
        <v>2</v>
      </c>
      <c r="F28" s="155">
        <v>3</v>
      </c>
      <c r="G28" s="155">
        <v>4</v>
      </c>
      <c r="H28" s="155">
        <v>5</v>
      </c>
      <c r="I28" s="155">
        <v>6</v>
      </c>
      <c r="J28" s="155">
        <v>7</v>
      </c>
      <c r="K28" s="155">
        <v>8</v>
      </c>
      <c r="L28" s="155">
        <v>9</v>
      </c>
      <c r="M28" s="155">
        <v>10</v>
      </c>
      <c r="N28" s="155">
        <v>11</v>
      </c>
      <c r="O28" s="155">
        <v>12</v>
      </c>
      <c r="P28" s="155">
        <v>13</v>
      </c>
      <c r="Q28" s="155">
        <v>14</v>
      </c>
      <c r="R28" s="155">
        <v>15</v>
      </c>
      <c r="S28" s="156"/>
    </row>
    <row r="29" spans="1:19" x14ac:dyDescent="0.2">
      <c r="B29" s="157"/>
      <c r="C29" s="158">
        <f>$B$2+C28</f>
        <v>2020</v>
      </c>
      <c r="D29" s="158">
        <f>$B$2+D28</f>
        <v>2021</v>
      </c>
      <c r="E29" s="158">
        <f t="shared" ref="E29:R29" si="17">$B$2+E28</f>
        <v>2022</v>
      </c>
      <c r="F29" s="158">
        <f t="shared" si="17"/>
        <v>2023</v>
      </c>
      <c r="G29" s="158">
        <f t="shared" si="17"/>
        <v>2024</v>
      </c>
      <c r="H29" s="158">
        <f t="shared" si="17"/>
        <v>2025</v>
      </c>
      <c r="I29" s="158">
        <f t="shared" si="17"/>
        <v>2026</v>
      </c>
      <c r="J29" s="158">
        <f t="shared" si="17"/>
        <v>2027</v>
      </c>
      <c r="K29" s="158">
        <f t="shared" si="17"/>
        <v>2028</v>
      </c>
      <c r="L29" s="158">
        <f t="shared" si="17"/>
        <v>2029</v>
      </c>
      <c r="M29" s="158">
        <f t="shared" si="17"/>
        <v>2030</v>
      </c>
      <c r="N29" s="158">
        <f t="shared" si="17"/>
        <v>2031</v>
      </c>
      <c r="O29" s="158">
        <f t="shared" si="17"/>
        <v>2032</v>
      </c>
      <c r="P29" s="158">
        <f t="shared" si="17"/>
        <v>2033</v>
      </c>
      <c r="Q29" s="158">
        <f t="shared" si="17"/>
        <v>2034</v>
      </c>
      <c r="R29" s="158">
        <f t="shared" si="17"/>
        <v>2035</v>
      </c>
      <c r="S29" s="159" t="s">
        <v>160</v>
      </c>
    </row>
    <row r="30" spans="1:19" x14ac:dyDescent="0.2">
      <c r="B30" s="160" t="s">
        <v>161</v>
      </c>
      <c r="C30" s="161"/>
      <c r="D30" s="161"/>
      <c r="E30" s="161"/>
      <c r="F30" s="161"/>
      <c r="G30" s="161"/>
      <c r="H30" s="161"/>
      <c r="I30" s="161"/>
      <c r="J30" s="161"/>
      <c r="K30" s="161"/>
      <c r="L30" s="161"/>
      <c r="M30" s="161"/>
      <c r="N30" s="161"/>
      <c r="O30" s="161"/>
      <c r="P30" s="161"/>
      <c r="Q30" s="161"/>
      <c r="R30" s="161"/>
      <c r="S30" s="162"/>
    </row>
    <row r="31" spans="1:19" x14ac:dyDescent="0.2">
      <c r="B31" s="157" t="s">
        <v>203</v>
      </c>
      <c r="C31" s="202">
        <f>'Electrification Calculator'!D29</f>
        <v>221300</v>
      </c>
      <c r="D31" s="202">
        <v>0</v>
      </c>
      <c r="E31" s="202">
        <v>0</v>
      </c>
      <c r="F31" s="202">
        <v>0</v>
      </c>
      <c r="G31" s="202">
        <v>0</v>
      </c>
      <c r="H31" s="202">
        <v>0</v>
      </c>
      <c r="I31" s="202">
        <v>0</v>
      </c>
      <c r="J31" s="202">
        <v>0</v>
      </c>
      <c r="K31" s="202">
        <v>0</v>
      </c>
      <c r="L31" s="202">
        <v>0</v>
      </c>
      <c r="M31" s="202">
        <v>0</v>
      </c>
      <c r="N31" s="202">
        <v>0</v>
      </c>
      <c r="O31" s="202">
        <v>0</v>
      </c>
      <c r="P31" s="202">
        <v>0</v>
      </c>
      <c r="Q31" s="202">
        <v>0</v>
      </c>
      <c r="R31" s="202">
        <v>0</v>
      </c>
      <c r="S31" s="163">
        <f>SUM(C31:R31)</f>
        <v>221300</v>
      </c>
    </row>
    <row r="32" spans="1:19" x14ac:dyDescent="0.2">
      <c r="B32" s="157" t="s">
        <v>162</v>
      </c>
      <c r="C32" s="202">
        <v>0</v>
      </c>
      <c r="D32" s="202">
        <v>0</v>
      </c>
      <c r="E32" s="202">
        <v>0</v>
      </c>
      <c r="F32" s="202">
        <v>0</v>
      </c>
      <c r="G32" s="202">
        <v>0</v>
      </c>
      <c r="H32" s="202">
        <v>0</v>
      </c>
      <c r="I32" s="202">
        <v>0</v>
      </c>
      <c r="J32" s="202">
        <v>0</v>
      </c>
      <c r="K32" s="202">
        <v>0</v>
      </c>
      <c r="L32" s="202">
        <v>0</v>
      </c>
      <c r="M32" s="202">
        <v>0</v>
      </c>
      <c r="N32" s="202">
        <v>0</v>
      </c>
      <c r="O32" s="202">
        <v>0</v>
      </c>
      <c r="P32" s="202">
        <v>0</v>
      </c>
      <c r="Q32" s="202">
        <v>0</v>
      </c>
      <c r="R32" s="202">
        <v>0</v>
      </c>
      <c r="S32" s="163">
        <f>SUM(C32:R32)</f>
        <v>0</v>
      </c>
    </row>
    <row r="33" spans="1:19" x14ac:dyDescent="0.2">
      <c r="B33" s="164" t="s">
        <v>163</v>
      </c>
      <c r="C33" s="203">
        <v>0</v>
      </c>
      <c r="D33" s="203">
        <v>0</v>
      </c>
      <c r="E33" s="203">
        <v>0</v>
      </c>
      <c r="F33" s="203">
        <v>0</v>
      </c>
      <c r="G33" s="203">
        <v>0</v>
      </c>
      <c r="H33" s="203">
        <v>0</v>
      </c>
      <c r="I33" s="203">
        <v>0</v>
      </c>
      <c r="J33" s="203">
        <v>0</v>
      </c>
      <c r="K33" s="203">
        <v>0</v>
      </c>
      <c r="L33" s="203">
        <v>0</v>
      </c>
      <c r="M33" s="203">
        <v>0</v>
      </c>
      <c r="N33" s="203">
        <v>0</v>
      </c>
      <c r="O33" s="203">
        <v>0</v>
      </c>
      <c r="P33" s="203">
        <v>0</v>
      </c>
      <c r="Q33" s="203">
        <v>0</v>
      </c>
      <c r="R33" s="203">
        <v>0</v>
      </c>
      <c r="S33" s="165">
        <f>SUM(C33:R33)</f>
        <v>0</v>
      </c>
    </row>
    <row r="34" spans="1:19" x14ac:dyDescent="0.2">
      <c r="B34" s="166" t="s">
        <v>164</v>
      </c>
      <c r="C34" s="167">
        <f t="shared" ref="C34:S34" si="18">SUM(C31:C33)</f>
        <v>221300</v>
      </c>
      <c r="D34" s="167">
        <f t="shared" si="18"/>
        <v>0</v>
      </c>
      <c r="E34" s="167">
        <f t="shared" si="18"/>
        <v>0</v>
      </c>
      <c r="F34" s="167">
        <f t="shared" si="18"/>
        <v>0</v>
      </c>
      <c r="G34" s="167">
        <f t="shared" si="18"/>
        <v>0</v>
      </c>
      <c r="H34" s="167">
        <f t="shared" si="18"/>
        <v>0</v>
      </c>
      <c r="I34" s="167">
        <f t="shared" si="18"/>
        <v>0</v>
      </c>
      <c r="J34" s="167">
        <f t="shared" si="18"/>
        <v>0</v>
      </c>
      <c r="K34" s="167">
        <f t="shared" si="18"/>
        <v>0</v>
      </c>
      <c r="L34" s="167">
        <f t="shared" si="18"/>
        <v>0</v>
      </c>
      <c r="M34" s="167">
        <f t="shared" si="18"/>
        <v>0</v>
      </c>
      <c r="N34" s="167">
        <f t="shared" si="18"/>
        <v>0</v>
      </c>
      <c r="O34" s="167">
        <f t="shared" si="18"/>
        <v>0</v>
      </c>
      <c r="P34" s="167">
        <f t="shared" si="18"/>
        <v>0</v>
      </c>
      <c r="Q34" s="167">
        <f t="shared" si="18"/>
        <v>0</v>
      </c>
      <c r="R34" s="167">
        <f t="shared" si="18"/>
        <v>0</v>
      </c>
      <c r="S34" s="168">
        <f t="shared" si="18"/>
        <v>221300</v>
      </c>
    </row>
    <row r="35" spans="1:19" ht="13.5" thickBot="1" x14ac:dyDescent="0.25">
      <c r="B35" s="169" t="s">
        <v>165</v>
      </c>
      <c r="C35" s="170">
        <f t="shared" ref="C35:R35" si="19">-PV($I$5,C$7,,C34)</f>
        <v>221300</v>
      </c>
      <c r="D35" s="170">
        <f t="shared" si="19"/>
        <v>0</v>
      </c>
      <c r="E35" s="170">
        <f t="shared" si="19"/>
        <v>0</v>
      </c>
      <c r="F35" s="170">
        <f t="shared" si="19"/>
        <v>0</v>
      </c>
      <c r="G35" s="170">
        <f t="shared" si="19"/>
        <v>0</v>
      </c>
      <c r="H35" s="170">
        <f t="shared" si="19"/>
        <v>0</v>
      </c>
      <c r="I35" s="170">
        <f t="shared" si="19"/>
        <v>0</v>
      </c>
      <c r="J35" s="170">
        <f t="shared" si="19"/>
        <v>0</v>
      </c>
      <c r="K35" s="170">
        <f t="shared" si="19"/>
        <v>0</v>
      </c>
      <c r="L35" s="170">
        <f t="shared" si="19"/>
        <v>0</v>
      </c>
      <c r="M35" s="170">
        <f t="shared" si="19"/>
        <v>0</v>
      </c>
      <c r="N35" s="170">
        <f t="shared" si="19"/>
        <v>0</v>
      </c>
      <c r="O35" s="170">
        <f t="shared" si="19"/>
        <v>0</v>
      </c>
      <c r="P35" s="170">
        <f t="shared" si="19"/>
        <v>0</v>
      </c>
      <c r="Q35" s="170">
        <f t="shared" si="19"/>
        <v>0</v>
      </c>
      <c r="R35" s="170">
        <f t="shared" si="19"/>
        <v>0</v>
      </c>
      <c r="S35" s="171">
        <f>SUM(C35:R35)</f>
        <v>221300</v>
      </c>
    </row>
    <row r="36" spans="1:19" ht="13.5" thickTop="1" x14ac:dyDescent="0.2">
      <c r="B36" s="172" t="s">
        <v>166</v>
      </c>
      <c r="C36" s="173"/>
      <c r="D36" s="173"/>
      <c r="E36" s="173"/>
      <c r="F36" s="173"/>
      <c r="G36" s="173"/>
      <c r="H36" s="173"/>
      <c r="I36" s="173"/>
      <c r="J36" s="173"/>
      <c r="K36" s="173"/>
      <c r="L36" s="173"/>
      <c r="M36" s="173"/>
      <c r="N36" s="173"/>
      <c r="O36" s="173"/>
      <c r="P36" s="173"/>
      <c r="Q36" s="173"/>
      <c r="R36" s="173"/>
      <c r="S36" s="174"/>
    </row>
    <row r="37" spans="1:19" x14ac:dyDescent="0.2">
      <c r="B37" s="157" t="s">
        <v>154</v>
      </c>
      <c r="C37" s="175"/>
      <c r="D37" s="202">
        <f>'Electrification Calculator'!D41</f>
        <v>60245.666187192393</v>
      </c>
      <c r="E37" s="175">
        <f t="shared" ref="E37" si="20">D37*(1+$I$2)</f>
        <v>61450.579510936244</v>
      </c>
      <c r="F37" s="175">
        <f t="shared" ref="F37" si="21">E37*(1+$I$2)</f>
        <v>62679.591101154969</v>
      </c>
      <c r="G37" s="175">
        <f t="shared" ref="G37" si="22">F37*(1+$I$2)</f>
        <v>63933.182923178072</v>
      </c>
      <c r="H37" s="175">
        <f t="shared" ref="H37" si="23">G37*(1+$I$2)</f>
        <v>65211.846581641636</v>
      </c>
      <c r="I37" s="175">
        <f t="shared" ref="I37" si="24">H37*(1+$I$2)</f>
        <v>66516.083513274469</v>
      </c>
      <c r="J37" s="175">
        <f t="shared" ref="J37" si="25">I37*(1+$I$2)</f>
        <v>67846.405183539959</v>
      </c>
      <c r="K37" s="175">
        <f t="shared" ref="K37" si="26">J37*(1+$I$2)</f>
        <v>69203.333287210757</v>
      </c>
      <c r="L37" s="175">
        <f t="shared" ref="L37" si="27">K37*(1+$I$2)</f>
        <v>70587.399952954976</v>
      </c>
      <c r="M37" s="175">
        <f t="shared" ref="M37" si="28">L37*(1+$I$2)</f>
        <v>71999.147952014071</v>
      </c>
      <c r="N37" s="175">
        <f t="shared" ref="N37" si="29">M37*(1+$I$2)</f>
        <v>73439.130911054352</v>
      </c>
      <c r="O37" s="175">
        <f t="shared" ref="O37" si="30">N37*(1+$I$2)</f>
        <v>74907.913529275436</v>
      </c>
      <c r="P37" s="175">
        <f t="shared" ref="P37" si="31">O37*(1+$I$2)</f>
        <v>76406.071799860947</v>
      </c>
      <c r="Q37" s="175">
        <f t="shared" ref="Q37" si="32">P37*(1+$I$2)</f>
        <v>77934.193235858169</v>
      </c>
      <c r="R37" s="175">
        <f t="shared" ref="R37" si="33">Q37*(1+$I$2)</f>
        <v>79492.877100575337</v>
      </c>
      <c r="S37" s="163">
        <f>SUM(C37:R37)</f>
        <v>1041853.4227697217</v>
      </c>
    </row>
    <row r="38" spans="1:19" x14ac:dyDescent="0.2">
      <c r="B38" s="157" t="s">
        <v>155</v>
      </c>
      <c r="C38" s="175"/>
      <c r="D38" s="202">
        <v>0</v>
      </c>
      <c r="E38" s="175">
        <f t="shared" ref="E38" si="34">D38*(1+$I$3)</f>
        <v>0</v>
      </c>
      <c r="F38" s="175">
        <f t="shared" ref="F38" si="35">E38*(1+$I$3)</f>
        <v>0</v>
      </c>
      <c r="G38" s="175">
        <f t="shared" ref="G38" si="36">F38*(1+$I$3)</f>
        <v>0</v>
      </c>
      <c r="H38" s="175">
        <f t="shared" ref="H38" si="37">G38*(1+$I$3)</f>
        <v>0</v>
      </c>
      <c r="I38" s="175">
        <f t="shared" ref="I38" si="38">H38*(1+$I$3)</f>
        <v>0</v>
      </c>
      <c r="J38" s="175">
        <f t="shared" ref="J38" si="39">I38*(1+$I$3)</f>
        <v>0</v>
      </c>
      <c r="K38" s="175">
        <f t="shared" ref="K38" si="40">J38*(1+$I$3)</f>
        <v>0</v>
      </c>
      <c r="L38" s="175">
        <f t="shared" ref="L38" si="41">K38*(1+$I$3)</f>
        <v>0</v>
      </c>
      <c r="M38" s="175">
        <f t="shared" ref="M38" si="42">L38*(1+$I$3)</f>
        <v>0</v>
      </c>
      <c r="N38" s="175">
        <f t="shared" ref="N38" si="43">M38*(1+$I$3)</f>
        <v>0</v>
      </c>
      <c r="O38" s="175">
        <f t="shared" ref="O38" si="44">N38*(1+$I$3)</f>
        <v>0</v>
      </c>
      <c r="P38" s="175">
        <f t="shared" ref="P38" si="45">O38*(1+$I$3)</f>
        <v>0</v>
      </c>
      <c r="Q38" s="175">
        <f t="shared" ref="Q38" si="46">P38*(1+$I$3)</f>
        <v>0</v>
      </c>
      <c r="R38" s="175">
        <f t="shared" ref="R38" si="47">Q38*(1+$I$3)</f>
        <v>0</v>
      </c>
      <c r="S38" s="163">
        <f>SUM(C38:R38)</f>
        <v>0</v>
      </c>
    </row>
    <row r="39" spans="1:19" x14ac:dyDescent="0.2">
      <c r="B39" s="157" t="s">
        <v>204</v>
      </c>
      <c r="C39" s="175"/>
      <c r="D39" s="202">
        <v>0</v>
      </c>
      <c r="E39" s="175">
        <f t="shared" ref="E39" si="48">D39*(1+$I$4)</f>
        <v>0</v>
      </c>
      <c r="F39" s="175">
        <f t="shared" ref="F39" si="49">E39*(1+$I$4)</f>
        <v>0</v>
      </c>
      <c r="G39" s="175">
        <f t="shared" ref="G39" si="50">F39*(1+$I$4)</f>
        <v>0</v>
      </c>
      <c r="H39" s="175">
        <f t="shared" ref="H39" si="51">G39*(1+$I$4)</f>
        <v>0</v>
      </c>
      <c r="I39" s="175">
        <f t="shared" ref="I39" si="52">H39*(1+$I$4)</f>
        <v>0</v>
      </c>
      <c r="J39" s="175">
        <f t="shared" ref="J39" si="53">I39*(1+$I$4)</f>
        <v>0</v>
      </c>
      <c r="K39" s="175">
        <f t="shared" ref="K39" si="54">J39*(1+$I$4)</f>
        <v>0</v>
      </c>
      <c r="L39" s="175">
        <f t="shared" ref="L39" si="55">K39*(1+$I$4)</f>
        <v>0</v>
      </c>
      <c r="M39" s="175">
        <f t="shared" ref="M39" si="56">L39*(1+$I$4)</f>
        <v>0</v>
      </c>
      <c r="N39" s="175">
        <f t="shared" ref="N39" si="57">M39*(1+$I$4)</f>
        <v>0</v>
      </c>
      <c r="O39" s="175">
        <f t="shared" ref="O39" si="58">N39*(1+$I$4)</f>
        <v>0</v>
      </c>
      <c r="P39" s="175">
        <f t="shared" ref="P39" si="59">O39*(1+$I$4)</f>
        <v>0</v>
      </c>
      <c r="Q39" s="175">
        <f t="shared" ref="Q39" si="60">P39*(1+$I$4)</f>
        <v>0</v>
      </c>
      <c r="R39" s="175">
        <f t="shared" ref="R39" si="61">Q39*(1+$I$4)</f>
        <v>0</v>
      </c>
      <c r="S39" s="176">
        <f>SUM(C39:R39)</f>
        <v>0</v>
      </c>
    </row>
    <row r="40" spans="1:19" x14ac:dyDescent="0.2">
      <c r="B40" s="177" t="s">
        <v>167</v>
      </c>
      <c r="C40" s="178"/>
      <c r="D40" s="178">
        <f t="shared" ref="D40:S40" si="62">SUM(D37:D39)</f>
        <v>60245.666187192393</v>
      </c>
      <c r="E40" s="178">
        <f t="shared" si="62"/>
        <v>61450.579510936244</v>
      </c>
      <c r="F40" s="178">
        <f t="shared" si="62"/>
        <v>62679.591101154969</v>
      </c>
      <c r="G40" s="178">
        <f t="shared" si="62"/>
        <v>63933.182923178072</v>
      </c>
      <c r="H40" s="178">
        <f t="shared" si="62"/>
        <v>65211.846581641636</v>
      </c>
      <c r="I40" s="178">
        <f t="shared" si="62"/>
        <v>66516.083513274469</v>
      </c>
      <c r="J40" s="178">
        <f t="shared" si="62"/>
        <v>67846.405183539959</v>
      </c>
      <c r="K40" s="178">
        <f t="shared" si="62"/>
        <v>69203.333287210757</v>
      </c>
      <c r="L40" s="178">
        <f t="shared" si="62"/>
        <v>70587.399952954976</v>
      </c>
      <c r="M40" s="178">
        <f t="shared" si="62"/>
        <v>71999.147952014071</v>
      </c>
      <c r="N40" s="178">
        <f t="shared" si="62"/>
        <v>73439.130911054352</v>
      </c>
      <c r="O40" s="178">
        <f t="shared" si="62"/>
        <v>74907.913529275436</v>
      </c>
      <c r="P40" s="178">
        <f t="shared" si="62"/>
        <v>76406.071799860947</v>
      </c>
      <c r="Q40" s="178">
        <f t="shared" si="62"/>
        <v>77934.193235858169</v>
      </c>
      <c r="R40" s="178">
        <f t="shared" si="62"/>
        <v>79492.877100575337</v>
      </c>
      <c r="S40" s="179">
        <f t="shared" si="62"/>
        <v>1041853.4227697217</v>
      </c>
    </row>
    <row r="41" spans="1:19" ht="13.5" thickBot="1" x14ac:dyDescent="0.25">
      <c r="B41" s="180" t="s">
        <v>212</v>
      </c>
      <c r="C41" s="181"/>
      <c r="D41" s="181">
        <f t="shared" ref="D41:R41" si="63">-PV($I$5,D$7,,D40)</f>
        <v>55783.024247400361</v>
      </c>
      <c r="E41" s="181">
        <f t="shared" si="63"/>
        <v>52683.967344767007</v>
      </c>
      <c r="F41" s="181">
        <f t="shared" si="63"/>
        <v>49757.080270057726</v>
      </c>
      <c r="G41" s="181">
        <f t="shared" si="63"/>
        <v>46992.798032832296</v>
      </c>
      <c r="H41" s="181">
        <f t="shared" si="63"/>
        <v>44382.087031008283</v>
      </c>
      <c r="I41" s="181">
        <f t="shared" si="63"/>
        <v>41916.415529285594</v>
      </c>
      <c r="J41" s="181">
        <f t="shared" si="63"/>
        <v>39587.725777658619</v>
      </c>
      <c r="K41" s="181">
        <f t="shared" si="63"/>
        <v>37388.407678899806</v>
      </c>
      <c r="L41" s="181">
        <f t="shared" si="63"/>
        <v>35311.273918960927</v>
      </c>
      <c r="M41" s="181">
        <f t="shared" si="63"/>
        <v>33349.53647901865</v>
      </c>
      <c r="N41" s="181">
        <f t="shared" si="63"/>
        <v>31496.7844524065</v>
      </c>
      <c r="O41" s="181">
        <f t="shared" si="63"/>
        <v>29746.96309393947</v>
      </c>
      <c r="P41" s="181">
        <f t="shared" si="63"/>
        <v>28094.354033165055</v>
      </c>
      <c r="Q41" s="181">
        <f t="shared" si="63"/>
        <v>26533.556586878105</v>
      </c>
      <c r="R41" s="181">
        <f t="shared" si="63"/>
        <v>25059.470109829319</v>
      </c>
      <c r="S41" s="182">
        <f>SUM(C41:R41)</f>
        <v>578083.44458610786</v>
      </c>
    </row>
    <row r="42" spans="1:19" ht="13.5" thickTop="1" x14ac:dyDescent="0.2">
      <c r="B42" s="172" t="s">
        <v>168</v>
      </c>
      <c r="C42" s="183"/>
      <c r="D42" s="184"/>
      <c r="E42" s="184"/>
      <c r="F42" s="184"/>
      <c r="G42" s="184"/>
      <c r="H42" s="184"/>
      <c r="I42" s="184"/>
      <c r="J42" s="184"/>
      <c r="K42" s="184"/>
      <c r="L42" s="184"/>
      <c r="M42" s="184"/>
      <c r="N42" s="184"/>
      <c r="O42" s="184"/>
      <c r="P42" s="184"/>
      <c r="Q42" s="184"/>
      <c r="R42" s="184"/>
      <c r="S42" s="185"/>
    </row>
    <row r="43" spans="1:19" x14ac:dyDescent="0.2">
      <c r="B43" s="186" t="s">
        <v>169</v>
      </c>
      <c r="C43" s="187">
        <f t="shared" ref="C43:R43" si="64">SUM(C40,C34)</f>
        <v>221300</v>
      </c>
      <c r="D43" s="187">
        <f t="shared" si="64"/>
        <v>60245.666187192393</v>
      </c>
      <c r="E43" s="187">
        <f t="shared" si="64"/>
        <v>61450.579510936244</v>
      </c>
      <c r="F43" s="187">
        <f t="shared" si="64"/>
        <v>62679.591101154969</v>
      </c>
      <c r="G43" s="187">
        <f t="shared" si="64"/>
        <v>63933.182923178072</v>
      </c>
      <c r="H43" s="187">
        <f t="shared" si="64"/>
        <v>65211.846581641636</v>
      </c>
      <c r="I43" s="187">
        <f t="shared" si="64"/>
        <v>66516.083513274469</v>
      </c>
      <c r="J43" s="187">
        <f t="shared" si="64"/>
        <v>67846.405183539959</v>
      </c>
      <c r="K43" s="187">
        <f t="shared" si="64"/>
        <v>69203.333287210757</v>
      </c>
      <c r="L43" s="187">
        <f t="shared" si="64"/>
        <v>70587.399952954976</v>
      </c>
      <c r="M43" s="187">
        <f t="shared" si="64"/>
        <v>71999.147952014071</v>
      </c>
      <c r="N43" s="187">
        <f t="shared" si="64"/>
        <v>73439.130911054352</v>
      </c>
      <c r="O43" s="187">
        <f t="shared" si="64"/>
        <v>74907.913529275436</v>
      </c>
      <c r="P43" s="187">
        <f t="shared" si="64"/>
        <v>76406.071799860947</v>
      </c>
      <c r="Q43" s="187">
        <f t="shared" si="64"/>
        <v>77934.193235858169</v>
      </c>
      <c r="R43" s="187">
        <f t="shared" si="64"/>
        <v>79492.877100575337</v>
      </c>
      <c r="S43" s="188">
        <f>SUM(C43:R43)</f>
        <v>1263153.4227697216</v>
      </c>
    </row>
    <row r="44" spans="1:19" ht="13.5" thickBot="1" x14ac:dyDescent="0.25">
      <c r="B44" s="189" t="s">
        <v>170</v>
      </c>
      <c r="C44" s="190">
        <f t="shared" ref="C44:R44" si="65">-PV($I$5,C$7,,C43)</f>
        <v>221300</v>
      </c>
      <c r="D44" s="190">
        <f t="shared" si="65"/>
        <v>55783.024247400361</v>
      </c>
      <c r="E44" s="190">
        <f t="shared" si="65"/>
        <v>52683.967344767007</v>
      </c>
      <c r="F44" s="190">
        <f t="shared" si="65"/>
        <v>49757.080270057726</v>
      </c>
      <c r="G44" s="190">
        <f t="shared" si="65"/>
        <v>46992.798032832296</v>
      </c>
      <c r="H44" s="190">
        <f t="shared" si="65"/>
        <v>44382.087031008283</v>
      </c>
      <c r="I44" s="190">
        <f t="shared" si="65"/>
        <v>41916.415529285594</v>
      </c>
      <c r="J44" s="190">
        <f t="shared" si="65"/>
        <v>39587.725777658619</v>
      </c>
      <c r="K44" s="190">
        <f t="shared" si="65"/>
        <v>37388.407678899806</v>
      </c>
      <c r="L44" s="190">
        <f t="shared" si="65"/>
        <v>35311.273918960927</v>
      </c>
      <c r="M44" s="190">
        <f t="shared" si="65"/>
        <v>33349.53647901865</v>
      </c>
      <c r="N44" s="190">
        <f t="shared" si="65"/>
        <v>31496.7844524065</v>
      </c>
      <c r="O44" s="190">
        <f t="shared" si="65"/>
        <v>29746.96309393947</v>
      </c>
      <c r="P44" s="190">
        <f t="shared" si="65"/>
        <v>28094.354033165055</v>
      </c>
      <c r="Q44" s="190">
        <f t="shared" si="65"/>
        <v>26533.556586878105</v>
      </c>
      <c r="R44" s="190">
        <f t="shared" si="65"/>
        <v>25059.470109829319</v>
      </c>
      <c r="S44" s="191">
        <f>SUM(C44:R44)</f>
        <v>799383.44458610762</v>
      </c>
    </row>
    <row r="45" spans="1:19" ht="13.5" thickBot="1" x14ac:dyDescent="0.25">
      <c r="C45" s="192"/>
      <c r="D45" s="192"/>
      <c r="E45" s="192"/>
      <c r="F45" s="192"/>
      <c r="G45" s="192"/>
      <c r="H45" s="192"/>
      <c r="I45" s="192"/>
      <c r="J45" s="192"/>
      <c r="K45" s="192"/>
      <c r="L45" s="192"/>
      <c r="M45" s="192"/>
      <c r="N45" s="192"/>
      <c r="O45" s="192"/>
      <c r="P45" s="192"/>
      <c r="Q45" s="192"/>
      <c r="R45" s="192"/>
      <c r="S45" s="193"/>
    </row>
    <row r="46" spans="1:19" ht="13.5" thickBot="1" x14ac:dyDescent="0.25">
      <c r="B46" s="194" t="s">
        <v>202</v>
      </c>
      <c r="C46" s="195">
        <f>SUM(C44:R44)</f>
        <v>799383.44458610762</v>
      </c>
      <c r="D46" s="192"/>
      <c r="E46" s="192"/>
      <c r="F46" s="192"/>
      <c r="G46" s="192"/>
      <c r="H46" s="192"/>
      <c r="I46" s="192"/>
      <c r="J46" s="192"/>
      <c r="K46" s="192"/>
      <c r="L46" s="192"/>
      <c r="M46" s="192"/>
      <c r="N46" s="192"/>
      <c r="O46" s="192"/>
      <c r="P46" s="192"/>
      <c r="Q46" s="192"/>
      <c r="R46" s="192"/>
      <c r="S46" s="193"/>
    </row>
    <row r="47" spans="1:19" x14ac:dyDescent="0.2">
      <c r="C47" s="192"/>
      <c r="D47" s="192"/>
      <c r="E47" s="192"/>
      <c r="F47" s="192"/>
      <c r="G47" s="192"/>
      <c r="H47" s="192"/>
      <c r="I47" s="192"/>
      <c r="J47" s="192"/>
      <c r="K47" s="192"/>
      <c r="L47" s="192"/>
      <c r="M47" s="192"/>
      <c r="N47" s="192"/>
      <c r="O47" s="192"/>
      <c r="P47" s="192"/>
      <c r="Q47" s="192"/>
      <c r="R47" s="192"/>
      <c r="S47" s="193"/>
    </row>
    <row r="48" spans="1:19" ht="13.5" thickBot="1" x14ac:dyDescent="0.25">
      <c r="A48" s="16" t="s">
        <v>227</v>
      </c>
    </row>
    <row r="49" spans="2:19" x14ac:dyDescent="0.2">
      <c r="B49" s="154" t="s">
        <v>159</v>
      </c>
      <c r="C49" s="155">
        <v>0</v>
      </c>
      <c r="D49" s="155">
        <v>1</v>
      </c>
      <c r="E49" s="155">
        <v>2</v>
      </c>
      <c r="F49" s="155">
        <v>3</v>
      </c>
      <c r="G49" s="155">
        <v>4</v>
      </c>
      <c r="H49" s="155">
        <v>5</v>
      </c>
      <c r="I49" s="155">
        <v>6</v>
      </c>
      <c r="J49" s="155">
        <v>7</v>
      </c>
      <c r="K49" s="155">
        <v>8</v>
      </c>
      <c r="L49" s="155">
        <v>9</v>
      </c>
      <c r="M49" s="155">
        <v>10</v>
      </c>
      <c r="N49" s="155">
        <v>11</v>
      </c>
      <c r="O49" s="155">
        <v>12</v>
      </c>
      <c r="P49" s="155">
        <v>13</v>
      </c>
      <c r="Q49" s="155">
        <v>14</v>
      </c>
      <c r="R49" s="155">
        <v>15</v>
      </c>
      <c r="S49" s="156"/>
    </row>
    <row r="50" spans="2:19" x14ac:dyDescent="0.2">
      <c r="B50" s="157"/>
      <c r="C50" s="158">
        <f>$B$2+C49</f>
        <v>2020</v>
      </c>
      <c r="D50" s="158">
        <f>$B$2+D49</f>
        <v>2021</v>
      </c>
      <c r="E50" s="158">
        <f t="shared" ref="E50:R50" si="66">$B$2+E49</f>
        <v>2022</v>
      </c>
      <c r="F50" s="158">
        <f t="shared" si="66"/>
        <v>2023</v>
      </c>
      <c r="G50" s="158">
        <f t="shared" si="66"/>
        <v>2024</v>
      </c>
      <c r="H50" s="158">
        <f t="shared" si="66"/>
        <v>2025</v>
      </c>
      <c r="I50" s="158">
        <f t="shared" si="66"/>
        <v>2026</v>
      </c>
      <c r="J50" s="158">
        <f t="shared" si="66"/>
        <v>2027</v>
      </c>
      <c r="K50" s="158">
        <f t="shared" si="66"/>
        <v>2028</v>
      </c>
      <c r="L50" s="158">
        <f t="shared" si="66"/>
        <v>2029</v>
      </c>
      <c r="M50" s="158">
        <f t="shared" si="66"/>
        <v>2030</v>
      </c>
      <c r="N50" s="158">
        <f t="shared" si="66"/>
        <v>2031</v>
      </c>
      <c r="O50" s="158">
        <f t="shared" si="66"/>
        <v>2032</v>
      </c>
      <c r="P50" s="158">
        <f t="shared" si="66"/>
        <v>2033</v>
      </c>
      <c r="Q50" s="158">
        <f t="shared" si="66"/>
        <v>2034</v>
      </c>
      <c r="R50" s="158">
        <f t="shared" si="66"/>
        <v>2035</v>
      </c>
      <c r="S50" s="159" t="s">
        <v>160</v>
      </c>
    </row>
    <row r="51" spans="2:19" x14ac:dyDescent="0.2">
      <c r="B51" s="160" t="s">
        <v>161</v>
      </c>
      <c r="C51" s="161"/>
      <c r="D51" s="161"/>
      <c r="E51" s="161"/>
      <c r="F51" s="161"/>
      <c r="G51" s="161"/>
      <c r="H51" s="161"/>
      <c r="I51" s="161"/>
      <c r="J51" s="161"/>
      <c r="K51" s="161"/>
      <c r="L51" s="161"/>
      <c r="M51" s="161"/>
      <c r="N51" s="161"/>
      <c r="O51" s="161"/>
      <c r="P51" s="161"/>
      <c r="Q51" s="161"/>
      <c r="R51" s="161"/>
      <c r="S51" s="162"/>
    </row>
    <row r="52" spans="2:19" x14ac:dyDescent="0.2">
      <c r="B52" s="157" t="s">
        <v>203</v>
      </c>
      <c r="C52" s="202">
        <f>'Electrification Calculator'!D29</f>
        <v>221300</v>
      </c>
      <c r="D52" s="202">
        <v>0</v>
      </c>
      <c r="E52" s="202">
        <v>0</v>
      </c>
      <c r="F52" s="202">
        <v>0</v>
      </c>
      <c r="G52" s="202">
        <v>0</v>
      </c>
      <c r="H52" s="202">
        <v>0</v>
      </c>
      <c r="I52" s="202">
        <v>0</v>
      </c>
      <c r="J52" s="202">
        <v>0</v>
      </c>
      <c r="K52" s="202">
        <v>0</v>
      </c>
      <c r="L52" s="202">
        <v>0</v>
      </c>
      <c r="M52" s="202">
        <v>0</v>
      </c>
      <c r="N52" s="202">
        <v>0</v>
      </c>
      <c r="O52" s="202">
        <v>0</v>
      </c>
      <c r="P52" s="202">
        <v>0</v>
      </c>
      <c r="Q52" s="202">
        <v>0</v>
      </c>
      <c r="R52" s="202">
        <v>0</v>
      </c>
      <c r="S52" s="163">
        <f>SUM(C52:R52)</f>
        <v>221300</v>
      </c>
    </row>
    <row r="53" spans="2:19" x14ac:dyDescent="0.2">
      <c r="B53" s="157" t="s">
        <v>162</v>
      </c>
      <c r="C53" s="202">
        <v>0</v>
      </c>
      <c r="D53" s="202">
        <v>0</v>
      </c>
      <c r="E53" s="202">
        <v>0</v>
      </c>
      <c r="F53" s="202">
        <v>0</v>
      </c>
      <c r="G53" s="202">
        <v>0</v>
      </c>
      <c r="H53" s="202">
        <v>0</v>
      </c>
      <c r="I53" s="202">
        <v>0</v>
      </c>
      <c r="J53" s="202">
        <v>0</v>
      </c>
      <c r="K53" s="202">
        <v>0</v>
      </c>
      <c r="L53" s="202">
        <v>0</v>
      </c>
      <c r="M53" s="202">
        <v>0</v>
      </c>
      <c r="N53" s="202">
        <v>0</v>
      </c>
      <c r="O53" s="202">
        <v>0</v>
      </c>
      <c r="P53" s="202">
        <v>0</v>
      </c>
      <c r="Q53" s="202">
        <v>0</v>
      </c>
      <c r="R53" s="202">
        <v>0</v>
      </c>
      <c r="S53" s="163">
        <f>SUM(C53:R53)</f>
        <v>0</v>
      </c>
    </row>
    <row r="54" spans="2:19" x14ac:dyDescent="0.2">
      <c r="B54" s="164" t="s">
        <v>163</v>
      </c>
      <c r="C54" s="203">
        <v>0</v>
      </c>
      <c r="D54" s="203">
        <v>0</v>
      </c>
      <c r="E54" s="203">
        <v>0</v>
      </c>
      <c r="F54" s="203">
        <v>0</v>
      </c>
      <c r="G54" s="203">
        <v>0</v>
      </c>
      <c r="H54" s="203">
        <v>0</v>
      </c>
      <c r="I54" s="203">
        <v>0</v>
      </c>
      <c r="J54" s="203">
        <v>0</v>
      </c>
      <c r="K54" s="203">
        <v>0</v>
      </c>
      <c r="L54" s="203">
        <v>0</v>
      </c>
      <c r="M54" s="203">
        <v>0</v>
      </c>
      <c r="N54" s="203">
        <v>0</v>
      </c>
      <c r="O54" s="203">
        <v>0</v>
      </c>
      <c r="P54" s="203">
        <v>0</v>
      </c>
      <c r="Q54" s="203">
        <v>0</v>
      </c>
      <c r="R54" s="203">
        <v>0</v>
      </c>
      <c r="S54" s="165">
        <f>SUM(C54:R54)</f>
        <v>0</v>
      </c>
    </row>
    <row r="55" spans="2:19" x14ac:dyDescent="0.2">
      <c r="B55" s="166" t="s">
        <v>164</v>
      </c>
      <c r="C55" s="167">
        <f t="shared" ref="C55:S55" si="67">SUM(C52:C54)</f>
        <v>221300</v>
      </c>
      <c r="D55" s="167">
        <f t="shared" si="67"/>
        <v>0</v>
      </c>
      <c r="E55" s="167">
        <f t="shared" si="67"/>
        <v>0</v>
      </c>
      <c r="F55" s="167">
        <f t="shared" si="67"/>
        <v>0</v>
      </c>
      <c r="G55" s="167">
        <f t="shared" si="67"/>
        <v>0</v>
      </c>
      <c r="H55" s="167">
        <f t="shared" si="67"/>
        <v>0</v>
      </c>
      <c r="I55" s="167">
        <f t="shared" si="67"/>
        <v>0</v>
      </c>
      <c r="J55" s="167">
        <f t="shared" si="67"/>
        <v>0</v>
      </c>
      <c r="K55" s="167">
        <f t="shared" si="67"/>
        <v>0</v>
      </c>
      <c r="L55" s="167">
        <f t="shared" si="67"/>
        <v>0</v>
      </c>
      <c r="M55" s="167">
        <f t="shared" si="67"/>
        <v>0</v>
      </c>
      <c r="N55" s="167">
        <f t="shared" si="67"/>
        <v>0</v>
      </c>
      <c r="O55" s="167">
        <f t="shared" si="67"/>
        <v>0</v>
      </c>
      <c r="P55" s="167">
        <f t="shared" si="67"/>
        <v>0</v>
      </c>
      <c r="Q55" s="167">
        <f t="shared" si="67"/>
        <v>0</v>
      </c>
      <c r="R55" s="167">
        <f t="shared" si="67"/>
        <v>0</v>
      </c>
      <c r="S55" s="168">
        <f t="shared" si="67"/>
        <v>221300</v>
      </c>
    </row>
    <row r="56" spans="2:19" ht="13.5" thickBot="1" x14ac:dyDescent="0.25">
      <c r="B56" s="169" t="s">
        <v>165</v>
      </c>
      <c r="C56" s="170">
        <f t="shared" ref="C56:R56" si="68">-PV($I$5,C$7,,C55)</f>
        <v>221300</v>
      </c>
      <c r="D56" s="170">
        <f t="shared" si="68"/>
        <v>0</v>
      </c>
      <c r="E56" s="170">
        <f t="shared" si="68"/>
        <v>0</v>
      </c>
      <c r="F56" s="170">
        <f t="shared" si="68"/>
        <v>0</v>
      </c>
      <c r="G56" s="170">
        <f t="shared" si="68"/>
        <v>0</v>
      </c>
      <c r="H56" s="170">
        <f t="shared" si="68"/>
        <v>0</v>
      </c>
      <c r="I56" s="170">
        <f t="shared" si="68"/>
        <v>0</v>
      </c>
      <c r="J56" s="170">
        <f t="shared" si="68"/>
        <v>0</v>
      </c>
      <c r="K56" s="170">
        <f t="shared" si="68"/>
        <v>0</v>
      </c>
      <c r="L56" s="170">
        <f t="shared" si="68"/>
        <v>0</v>
      </c>
      <c r="M56" s="170">
        <f t="shared" si="68"/>
        <v>0</v>
      </c>
      <c r="N56" s="170">
        <f t="shared" si="68"/>
        <v>0</v>
      </c>
      <c r="O56" s="170">
        <f t="shared" si="68"/>
        <v>0</v>
      </c>
      <c r="P56" s="170">
        <f t="shared" si="68"/>
        <v>0</v>
      </c>
      <c r="Q56" s="170">
        <f t="shared" si="68"/>
        <v>0</v>
      </c>
      <c r="R56" s="170">
        <f t="shared" si="68"/>
        <v>0</v>
      </c>
      <c r="S56" s="171">
        <f>SUM(C56:R56)</f>
        <v>221300</v>
      </c>
    </row>
    <row r="57" spans="2:19" ht="13.5" thickTop="1" x14ac:dyDescent="0.2">
      <c r="B57" s="172" t="s">
        <v>166</v>
      </c>
      <c r="C57" s="173"/>
      <c r="D57" s="173"/>
      <c r="E57" s="173"/>
      <c r="F57" s="173"/>
      <c r="G57" s="173"/>
      <c r="H57" s="173"/>
      <c r="I57" s="173"/>
      <c r="J57" s="173"/>
      <c r="K57" s="173"/>
      <c r="L57" s="173"/>
      <c r="M57" s="173"/>
      <c r="N57" s="173"/>
      <c r="O57" s="173"/>
      <c r="P57" s="173"/>
      <c r="Q57" s="173"/>
      <c r="R57" s="173"/>
      <c r="S57" s="174"/>
    </row>
    <row r="58" spans="2:19" x14ac:dyDescent="0.2">
      <c r="B58" s="157" t="s">
        <v>154</v>
      </c>
      <c r="C58" s="175"/>
      <c r="D58" s="202">
        <f>'Electrification Calculator'!E41</f>
        <v>56752.019914032564</v>
      </c>
      <c r="E58" s="175">
        <f t="shared" ref="E58" si="69">D58*(1+$I$2)</f>
        <v>57887.060312313217</v>
      </c>
      <c r="F58" s="175">
        <f t="shared" ref="F58" si="70">E58*(1+$I$2)</f>
        <v>59044.801518559485</v>
      </c>
      <c r="G58" s="175">
        <f t="shared" ref="G58" si="71">F58*(1+$I$2)</f>
        <v>60225.697548930679</v>
      </c>
      <c r="H58" s="175">
        <f t="shared" ref="H58" si="72">G58*(1+$I$2)</f>
        <v>61430.211499909296</v>
      </c>
      <c r="I58" s="175">
        <f t="shared" ref="I58" si="73">H58*(1+$I$2)</f>
        <v>62658.815729907481</v>
      </c>
      <c r="J58" s="175">
        <f t="shared" ref="J58" si="74">I58*(1+$I$2)</f>
        <v>63911.992044505634</v>
      </c>
      <c r="K58" s="175">
        <f t="shared" ref="K58" si="75">J58*(1+$I$2)</f>
        <v>65190.231885395748</v>
      </c>
      <c r="L58" s="175">
        <f t="shared" ref="L58" si="76">K58*(1+$I$2)</f>
        <v>66494.03652310367</v>
      </c>
      <c r="M58" s="175">
        <f t="shared" ref="M58" si="77">L58*(1+$I$2)</f>
        <v>67823.917253565742</v>
      </c>
      <c r="N58" s="175">
        <f t="shared" ref="N58" si="78">M58*(1+$I$2)</f>
        <v>69180.395598637057</v>
      </c>
      <c r="O58" s="175">
        <f t="shared" ref="O58" si="79">N58*(1+$I$2)</f>
        <v>70564.003510609793</v>
      </c>
      <c r="P58" s="175">
        <f t="shared" ref="P58" si="80">O58*(1+$I$2)</f>
        <v>71975.283580821997</v>
      </c>
      <c r="Q58" s="175">
        <f t="shared" ref="Q58" si="81">P58*(1+$I$2)</f>
        <v>73414.789252438437</v>
      </c>
      <c r="R58" s="175">
        <f t="shared" ref="R58" si="82">Q58*(1+$I$2)</f>
        <v>74883.08503748721</v>
      </c>
      <c r="S58" s="163">
        <f>SUM(C58:R58)</f>
        <v>981436.34121021791</v>
      </c>
    </row>
    <row r="59" spans="2:19" x14ac:dyDescent="0.2">
      <c r="B59" s="157" t="s">
        <v>155</v>
      </c>
      <c r="C59" s="175"/>
      <c r="D59" s="202">
        <v>0</v>
      </c>
      <c r="E59" s="175">
        <f t="shared" ref="E59" si="83">D59*(1+$I$3)</f>
        <v>0</v>
      </c>
      <c r="F59" s="175">
        <f t="shared" ref="F59" si="84">E59*(1+$I$3)</f>
        <v>0</v>
      </c>
      <c r="G59" s="175">
        <f t="shared" ref="G59" si="85">F59*(1+$I$3)</f>
        <v>0</v>
      </c>
      <c r="H59" s="175">
        <f t="shared" ref="H59" si="86">G59*(1+$I$3)</f>
        <v>0</v>
      </c>
      <c r="I59" s="175">
        <f t="shared" ref="I59" si="87">H59*(1+$I$3)</f>
        <v>0</v>
      </c>
      <c r="J59" s="175">
        <f t="shared" ref="J59" si="88">I59*(1+$I$3)</f>
        <v>0</v>
      </c>
      <c r="K59" s="175">
        <f t="shared" ref="K59" si="89">J59*(1+$I$3)</f>
        <v>0</v>
      </c>
      <c r="L59" s="175">
        <f t="shared" ref="L59" si="90">K59*(1+$I$3)</f>
        <v>0</v>
      </c>
      <c r="M59" s="175">
        <f t="shared" ref="M59" si="91">L59*(1+$I$3)</f>
        <v>0</v>
      </c>
      <c r="N59" s="175">
        <f t="shared" ref="N59" si="92">M59*(1+$I$3)</f>
        <v>0</v>
      </c>
      <c r="O59" s="175">
        <f t="shared" ref="O59" si="93">N59*(1+$I$3)</f>
        <v>0</v>
      </c>
      <c r="P59" s="175">
        <f t="shared" ref="P59" si="94">O59*(1+$I$3)</f>
        <v>0</v>
      </c>
      <c r="Q59" s="175">
        <f t="shared" ref="Q59" si="95">P59*(1+$I$3)</f>
        <v>0</v>
      </c>
      <c r="R59" s="175">
        <f t="shared" ref="R59" si="96">Q59*(1+$I$3)</f>
        <v>0</v>
      </c>
      <c r="S59" s="163">
        <f>SUM(C59:R59)</f>
        <v>0</v>
      </c>
    </row>
    <row r="60" spans="2:19" x14ac:dyDescent="0.2">
      <c r="B60" s="157" t="s">
        <v>204</v>
      </c>
      <c r="C60" s="175"/>
      <c r="D60" s="202">
        <v>0</v>
      </c>
      <c r="E60" s="175">
        <f t="shared" ref="E60" si="97">D60*(1+$I$4)</f>
        <v>0</v>
      </c>
      <c r="F60" s="175">
        <f t="shared" ref="F60" si="98">E60*(1+$I$4)</f>
        <v>0</v>
      </c>
      <c r="G60" s="175">
        <f t="shared" ref="G60" si="99">F60*(1+$I$4)</f>
        <v>0</v>
      </c>
      <c r="H60" s="175">
        <f t="shared" ref="H60" si="100">G60*(1+$I$4)</f>
        <v>0</v>
      </c>
      <c r="I60" s="175">
        <f t="shared" ref="I60" si="101">H60*(1+$I$4)</f>
        <v>0</v>
      </c>
      <c r="J60" s="175">
        <f t="shared" ref="J60" si="102">I60*(1+$I$4)</f>
        <v>0</v>
      </c>
      <c r="K60" s="175">
        <f t="shared" ref="K60" si="103">J60*(1+$I$4)</f>
        <v>0</v>
      </c>
      <c r="L60" s="175">
        <f t="shared" ref="L60" si="104">K60*(1+$I$4)</f>
        <v>0</v>
      </c>
      <c r="M60" s="175">
        <f t="shared" ref="M60" si="105">L60*(1+$I$4)</f>
        <v>0</v>
      </c>
      <c r="N60" s="175">
        <f t="shared" ref="N60" si="106">M60*(1+$I$4)</f>
        <v>0</v>
      </c>
      <c r="O60" s="175">
        <f t="shared" ref="O60" si="107">N60*(1+$I$4)</f>
        <v>0</v>
      </c>
      <c r="P60" s="175">
        <f t="shared" ref="P60" si="108">O60*(1+$I$4)</f>
        <v>0</v>
      </c>
      <c r="Q60" s="175">
        <f t="shared" ref="Q60" si="109">P60*(1+$I$4)</f>
        <v>0</v>
      </c>
      <c r="R60" s="175">
        <f t="shared" ref="R60" si="110">Q60*(1+$I$4)</f>
        <v>0</v>
      </c>
      <c r="S60" s="176">
        <f>SUM(C60:R60)</f>
        <v>0</v>
      </c>
    </row>
    <row r="61" spans="2:19" x14ac:dyDescent="0.2">
      <c r="B61" s="177" t="s">
        <v>167</v>
      </c>
      <c r="C61" s="178"/>
      <c r="D61" s="178">
        <f t="shared" ref="D61:S61" si="111">SUM(D58:D60)</f>
        <v>56752.019914032564</v>
      </c>
      <c r="E61" s="178">
        <f t="shared" si="111"/>
        <v>57887.060312313217</v>
      </c>
      <c r="F61" s="178">
        <f t="shared" si="111"/>
        <v>59044.801518559485</v>
      </c>
      <c r="G61" s="178">
        <f t="shared" si="111"/>
        <v>60225.697548930679</v>
      </c>
      <c r="H61" s="178">
        <f t="shared" si="111"/>
        <v>61430.211499909296</v>
      </c>
      <c r="I61" s="178">
        <f t="shared" si="111"/>
        <v>62658.815729907481</v>
      </c>
      <c r="J61" s="178">
        <f t="shared" si="111"/>
        <v>63911.992044505634</v>
      </c>
      <c r="K61" s="178">
        <f t="shared" si="111"/>
        <v>65190.231885395748</v>
      </c>
      <c r="L61" s="178">
        <f t="shared" si="111"/>
        <v>66494.03652310367</v>
      </c>
      <c r="M61" s="178">
        <f t="shared" si="111"/>
        <v>67823.917253565742</v>
      </c>
      <c r="N61" s="178">
        <f t="shared" si="111"/>
        <v>69180.395598637057</v>
      </c>
      <c r="O61" s="178">
        <f t="shared" si="111"/>
        <v>70564.003510609793</v>
      </c>
      <c r="P61" s="178">
        <f t="shared" si="111"/>
        <v>71975.283580821997</v>
      </c>
      <c r="Q61" s="178">
        <f t="shared" si="111"/>
        <v>73414.789252438437</v>
      </c>
      <c r="R61" s="178">
        <f t="shared" si="111"/>
        <v>74883.08503748721</v>
      </c>
      <c r="S61" s="179">
        <f t="shared" si="111"/>
        <v>981436.34121021791</v>
      </c>
    </row>
    <row r="62" spans="2:19" ht="13.5" thickBot="1" x14ac:dyDescent="0.25">
      <c r="B62" s="180" t="s">
        <v>212</v>
      </c>
      <c r="C62" s="181"/>
      <c r="D62" s="181">
        <f t="shared" ref="D62:R62" si="112">-PV($I$5,D$7,,D61)</f>
        <v>52548.166587067186</v>
      </c>
      <c r="E62" s="181">
        <f t="shared" si="112"/>
        <v>49628.823998896783</v>
      </c>
      <c r="F62" s="181">
        <f t="shared" si="112"/>
        <v>46871.667110069189</v>
      </c>
      <c r="G62" s="181">
        <f t="shared" si="112"/>
        <v>44267.685603954233</v>
      </c>
      <c r="H62" s="181">
        <f t="shared" si="112"/>
        <v>41808.369737067886</v>
      </c>
      <c r="I62" s="181">
        <f t="shared" si="112"/>
        <v>39485.682529452999</v>
      </c>
      <c r="J62" s="181">
        <f t="shared" si="112"/>
        <v>37292.033500038946</v>
      </c>
      <c r="K62" s="181">
        <f t="shared" si="112"/>
        <v>35220.253861147896</v>
      </c>
      <c r="L62" s="181">
        <f t="shared" si="112"/>
        <v>33263.573091084123</v>
      </c>
      <c r="M62" s="181">
        <f t="shared" si="112"/>
        <v>31415.596808246115</v>
      </c>
      <c r="N62" s="181">
        <f t="shared" si="112"/>
        <v>29670.285874454665</v>
      </c>
      <c r="O62" s="181">
        <f t="shared" si="112"/>
        <v>28021.936659207178</v>
      </c>
      <c r="P62" s="181">
        <f t="shared" si="112"/>
        <v>26465.162400362336</v>
      </c>
      <c r="Q62" s="181">
        <f t="shared" si="112"/>
        <v>24994.875600342202</v>
      </c>
      <c r="R62" s="181">
        <f t="shared" si="112"/>
        <v>23606.271400323192</v>
      </c>
      <c r="S62" s="182">
        <f>SUM(C62:R62)</f>
        <v>544560.38476171484</v>
      </c>
    </row>
    <row r="63" spans="2:19" ht="13.5" thickTop="1" x14ac:dyDescent="0.2">
      <c r="B63" s="172" t="s">
        <v>168</v>
      </c>
      <c r="C63" s="183"/>
      <c r="D63" s="184"/>
      <c r="E63" s="184"/>
      <c r="F63" s="184"/>
      <c r="G63" s="184"/>
      <c r="H63" s="184"/>
      <c r="I63" s="184"/>
      <c r="J63" s="184"/>
      <c r="K63" s="184"/>
      <c r="L63" s="184"/>
      <c r="M63" s="184"/>
      <c r="N63" s="184"/>
      <c r="O63" s="184"/>
      <c r="P63" s="184"/>
      <c r="Q63" s="184"/>
      <c r="R63" s="184"/>
      <c r="S63" s="185"/>
    </row>
    <row r="64" spans="2:19" x14ac:dyDescent="0.2">
      <c r="B64" s="186" t="s">
        <v>169</v>
      </c>
      <c r="C64" s="187">
        <f t="shared" ref="C64:R64" si="113">SUM(C61,C55)</f>
        <v>221300</v>
      </c>
      <c r="D64" s="187">
        <f t="shared" si="113"/>
        <v>56752.019914032564</v>
      </c>
      <c r="E64" s="187">
        <f t="shared" si="113"/>
        <v>57887.060312313217</v>
      </c>
      <c r="F64" s="187">
        <f t="shared" si="113"/>
        <v>59044.801518559485</v>
      </c>
      <c r="G64" s="187">
        <f t="shared" si="113"/>
        <v>60225.697548930679</v>
      </c>
      <c r="H64" s="187">
        <f t="shared" si="113"/>
        <v>61430.211499909296</v>
      </c>
      <c r="I64" s="187">
        <f t="shared" si="113"/>
        <v>62658.815729907481</v>
      </c>
      <c r="J64" s="187">
        <f t="shared" si="113"/>
        <v>63911.992044505634</v>
      </c>
      <c r="K64" s="187">
        <f t="shared" si="113"/>
        <v>65190.231885395748</v>
      </c>
      <c r="L64" s="187">
        <f t="shared" si="113"/>
        <v>66494.03652310367</v>
      </c>
      <c r="M64" s="187">
        <f t="shared" si="113"/>
        <v>67823.917253565742</v>
      </c>
      <c r="N64" s="187">
        <f t="shared" si="113"/>
        <v>69180.395598637057</v>
      </c>
      <c r="O64" s="187">
        <f t="shared" si="113"/>
        <v>70564.003510609793</v>
      </c>
      <c r="P64" s="187">
        <f t="shared" si="113"/>
        <v>71975.283580821997</v>
      </c>
      <c r="Q64" s="187">
        <f t="shared" si="113"/>
        <v>73414.789252438437</v>
      </c>
      <c r="R64" s="187">
        <f t="shared" si="113"/>
        <v>74883.08503748721</v>
      </c>
      <c r="S64" s="188">
        <f>SUM(C64:R64)</f>
        <v>1202736.3412102177</v>
      </c>
    </row>
    <row r="65" spans="2:19" ht="13.5" thickBot="1" x14ac:dyDescent="0.25">
      <c r="B65" s="189" t="s">
        <v>170</v>
      </c>
      <c r="C65" s="190">
        <f t="shared" ref="C65:R65" si="114">-PV($I$5,C$7,,C64)</f>
        <v>221300</v>
      </c>
      <c r="D65" s="190">
        <f t="shared" si="114"/>
        <v>52548.166587067186</v>
      </c>
      <c r="E65" s="190">
        <f t="shared" si="114"/>
        <v>49628.823998896783</v>
      </c>
      <c r="F65" s="190">
        <f t="shared" si="114"/>
        <v>46871.667110069189</v>
      </c>
      <c r="G65" s="190">
        <f t="shared" si="114"/>
        <v>44267.685603954233</v>
      </c>
      <c r="H65" s="190">
        <f t="shared" si="114"/>
        <v>41808.369737067886</v>
      </c>
      <c r="I65" s="190">
        <f t="shared" si="114"/>
        <v>39485.682529452999</v>
      </c>
      <c r="J65" s="190">
        <f t="shared" si="114"/>
        <v>37292.033500038946</v>
      </c>
      <c r="K65" s="190">
        <f t="shared" si="114"/>
        <v>35220.253861147896</v>
      </c>
      <c r="L65" s="190">
        <f t="shared" si="114"/>
        <v>33263.573091084123</v>
      </c>
      <c r="M65" s="190">
        <f t="shared" si="114"/>
        <v>31415.596808246115</v>
      </c>
      <c r="N65" s="190">
        <f t="shared" si="114"/>
        <v>29670.285874454665</v>
      </c>
      <c r="O65" s="190">
        <f t="shared" si="114"/>
        <v>28021.936659207178</v>
      </c>
      <c r="P65" s="190">
        <f t="shared" si="114"/>
        <v>26465.162400362336</v>
      </c>
      <c r="Q65" s="190">
        <f t="shared" si="114"/>
        <v>24994.875600342202</v>
      </c>
      <c r="R65" s="190">
        <f t="shared" si="114"/>
        <v>23606.271400323192</v>
      </c>
      <c r="S65" s="191">
        <f>SUM(C65:R65)</f>
        <v>765860.38476171484</v>
      </c>
    </row>
    <row r="66" spans="2:19" ht="13.5" thickBot="1" x14ac:dyDescent="0.25">
      <c r="C66" s="192"/>
      <c r="D66" s="192"/>
      <c r="E66" s="192"/>
      <c r="F66" s="192"/>
      <c r="G66" s="192"/>
      <c r="H66" s="192"/>
      <c r="I66" s="192"/>
      <c r="J66" s="192"/>
      <c r="K66" s="192"/>
      <c r="L66" s="192"/>
      <c r="M66" s="192"/>
      <c r="N66" s="192"/>
      <c r="O66" s="192"/>
      <c r="P66" s="192"/>
      <c r="Q66" s="192"/>
      <c r="R66" s="192"/>
      <c r="S66" s="193"/>
    </row>
    <row r="67" spans="2:19" ht="13.5" thickBot="1" x14ac:dyDescent="0.25">
      <c r="B67" s="194" t="s">
        <v>202</v>
      </c>
      <c r="C67" s="195">
        <f>SUM(C65:R65)</f>
        <v>765860.38476171484</v>
      </c>
      <c r="D67" s="192"/>
      <c r="E67" s="192"/>
      <c r="F67" s="192"/>
      <c r="G67" s="192"/>
      <c r="H67" s="192"/>
      <c r="I67" s="192"/>
      <c r="J67" s="192"/>
      <c r="K67" s="192"/>
      <c r="L67" s="192"/>
      <c r="M67" s="192"/>
      <c r="N67" s="192"/>
      <c r="O67" s="192"/>
      <c r="P67" s="192"/>
      <c r="Q67" s="192"/>
      <c r="R67" s="192"/>
      <c r="S67" s="19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79966-B6A8-421B-8369-D3910F528D76}">
  <sheetPr>
    <tabColor theme="8" tint="0.59999389629810485"/>
  </sheetPr>
  <dimension ref="A1:R106"/>
  <sheetViews>
    <sheetView workbookViewId="0">
      <selection activeCell="G25" sqref="G25"/>
    </sheetView>
  </sheetViews>
  <sheetFormatPr defaultColWidth="8.140625" defaultRowHeight="12.75" x14ac:dyDescent="0.2"/>
  <cols>
    <col min="1" max="3" width="8.140625" style="5"/>
    <col min="4" max="4" width="10.28515625" style="5" customWidth="1"/>
    <col min="5" max="5" width="10.140625" style="5" customWidth="1"/>
    <col min="6" max="6" width="8.7109375" style="5" customWidth="1"/>
    <col min="7" max="7" width="8.140625" style="5"/>
    <col min="8" max="8" width="18.7109375" style="5" bestFit="1" customWidth="1"/>
    <col min="9" max="9" width="9.85546875" style="5" customWidth="1"/>
    <col min="10" max="10" width="5.42578125" style="5" customWidth="1"/>
    <col min="11" max="11" width="25" style="5" customWidth="1"/>
    <col min="12" max="12" width="5.42578125" style="5" customWidth="1"/>
    <col min="13" max="13" width="10.42578125" style="5" customWidth="1"/>
    <col min="14" max="14" width="11.28515625" style="5" customWidth="1"/>
    <col min="15" max="16384" width="8.140625" style="5"/>
  </cols>
  <sheetData>
    <row r="1" spans="1:9" x14ac:dyDescent="0.2">
      <c r="A1" s="16" t="s">
        <v>36</v>
      </c>
    </row>
    <row r="2" spans="1:9" x14ac:dyDescent="0.2">
      <c r="A2" s="16"/>
    </row>
    <row r="3" spans="1:9" x14ac:dyDescent="0.2">
      <c r="A3" s="5" t="s">
        <v>75</v>
      </c>
    </row>
    <row r="12" spans="1:9" x14ac:dyDescent="0.2">
      <c r="A12" s="16" t="s">
        <v>42</v>
      </c>
    </row>
    <row r="14" spans="1:9" x14ac:dyDescent="0.2">
      <c r="B14" s="10" t="s">
        <v>6</v>
      </c>
      <c r="C14" s="10" t="s">
        <v>21</v>
      </c>
    </row>
    <row r="15" spans="1:9" x14ac:dyDescent="0.2">
      <c r="B15" s="23" t="s">
        <v>22</v>
      </c>
      <c r="C15" s="24">
        <f t="shared" ref="C15:C26" si="0">AVERAGE(F30,F45)</f>
        <v>0.44788730361388351</v>
      </c>
      <c r="H15" s="5" t="s">
        <v>23</v>
      </c>
      <c r="I15" s="15">
        <f>AVERAGE(I30,I45)</f>
        <v>0.42487814704920701</v>
      </c>
    </row>
    <row r="16" spans="1:9" x14ac:dyDescent="0.2">
      <c r="B16" s="23" t="s">
        <v>24</v>
      </c>
      <c r="C16" s="24">
        <f t="shared" si="0"/>
        <v>0.45237169092518864</v>
      </c>
      <c r="H16" s="5" t="s">
        <v>25</v>
      </c>
      <c r="I16" s="15">
        <f>AVERAGE(I31,I46)</f>
        <v>0.20866746724410914</v>
      </c>
    </row>
    <row r="17" spans="1:9" x14ac:dyDescent="0.2">
      <c r="B17" s="23" t="s">
        <v>26</v>
      </c>
      <c r="C17" s="24">
        <f t="shared" si="0"/>
        <v>0.28084321115716487</v>
      </c>
      <c r="H17" s="5" t="s">
        <v>27</v>
      </c>
      <c r="I17" s="15">
        <f>AVERAGE(I32,I47)</f>
        <v>0.22858259190860317</v>
      </c>
    </row>
    <row r="18" spans="1:9" x14ac:dyDescent="0.2">
      <c r="B18" s="23" t="s">
        <v>28</v>
      </c>
      <c r="C18" s="24">
        <f t="shared" si="0"/>
        <v>0.26237751763141803</v>
      </c>
    </row>
    <row r="19" spans="1:9" x14ac:dyDescent="0.2">
      <c r="B19" s="23" t="s">
        <v>8</v>
      </c>
      <c r="C19" s="24">
        <f t="shared" si="0"/>
        <v>0.18331653515485602</v>
      </c>
    </row>
    <row r="20" spans="1:9" x14ac:dyDescent="0.2">
      <c r="B20" s="23" t="s">
        <v>29</v>
      </c>
      <c r="C20" s="24">
        <f t="shared" si="0"/>
        <v>0.19153450759148147</v>
      </c>
    </row>
    <row r="21" spans="1:9" x14ac:dyDescent="0.2">
      <c r="B21" s="22" t="s">
        <v>30</v>
      </c>
      <c r="C21" s="24">
        <f t="shared" si="0"/>
        <v>0.24227345202499379</v>
      </c>
    </row>
    <row r="22" spans="1:9" x14ac:dyDescent="0.2">
      <c r="B22" s="22" t="s">
        <v>31</v>
      </c>
      <c r="C22" s="24">
        <f t="shared" si="0"/>
        <v>0.19219444211585215</v>
      </c>
    </row>
    <row r="23" spans="1:9" x14ac:dyDescent="0.2">
      <c r="B23" s="22" t="s">
        <v>32</v>
      </c>
      <c r="C23" s="24">
        <f t="shared" si="0"/>
        <v>0.13634826914774315</v>
      </c>
    </row>
    <row r="24" spans="1:9" x14ac:dyDescent="0.2">
      <c r="B24" s="23" t="s">
        <v>33</v>
      </c>
      <c r="C24" s="24">
        <f t="shared" si="0"/>
        <v>0.28002742645183382</v>
      </c>
    </row>
    <row r="25" spans="1:9" x14ac:dyDescent="0.2">
      <c r="B25" s="23" t="s">
        <v>34</v>
      </c>
      <c r="C25" s="24">
        <f t="shared" si="0"/>
        <v>0.34608623534214566</v>
      </c>
    </row>
    <row r="26" spans="1:9" x14ac:dyDescent="0.2">
      <c r="B26" s="23" t="s">
        <v>35</v>
      </c>
      <c r="C26" s="24">
        <f t="shared" si="0"/>
        <v>0.45316735831561028</v>
      </c>
    </row>
    <row r="28" spans="1:9" x14ac:dyDescent="0.2">
      <c r="A28" s="16" t="s">
        <v>38</v>
      </c>
    </row>
    <row r="29" spans="1:9" ht="51" x14ac:dyDescent="0.2">
      <c r="B29" s="10" t="s">
        <v>6</v>
      </c>
      <c r="C29" s="10" t="s">
        <v>37</v>
      </c>
      <c r="D29" s="10" t="s">
        <v>41</v>
      </c>
      <c r="E29" s="10" t="s">
        <v>40</v>
      </c>
      <c r="F29" s="10" t="s">
        <v>21</v>
      </c>
    </row>
    <row r="30" spans="1:9" x14ac:dyDescent="0.2">
      <c r="B30" s="17" t="s">
        <v>22</v>
      </c>
      <c r="C30" s="20">
        <v>31</v>
      </c>
      <c r="D30" s="21">
        <v>0.88973333333333338</v>
      </c>
      <c r="E30" s="21">
        <v>2.4966666666666666E-3</v>
      </c>
      <c r="F30" s="18">
        <f>D30/(E30*C30*24)</f>
        <v>0.47898990769054078</v>
      </c>
      <c r="H30" s="5" t="s">
        <v>23</v>
      </c>
      <c r="I30" s="15">
        <f>AVERAGE(F40,F41,F30,F31)</f>
        <v>0.42405463231256446</v>
      </c>
    </row>
    <row r="31" spans="1:9" x14ac:dyDescent="0.2">
      <c r="B31" s="17" t="s">
        <v>24</v>
      </c>
      <c r="C31" s="20">
        <v>28</v>
      </c>
      <c r="D31" s="21">
        <v>0.75269333333333333</v>
      </c>
      <c r="E31" s="21">
        <v>2.5266666666666666E-3</v>
      </c>
      <c r="F31" s="18">
        <f t="shared" ref="F31:F41" si="1">D31/(E31*C31*24)</f>
        <v>0.44330317879130549</v>
      </c>
      <c r="H31" s="5" t="s">
        <v>25</v>
      </c>
      <c r="I31" s="15">
        <f>AVERAGE(F35:F37)</f>
        <v>0.20165434624234965</v>
      </c>
    </row>
    <row r="32" spans="1:9" x14ac:dyDescent="0.2">
      <c r="B32" s="17" t="s">
        <v>26</v>
      </c>
      <c r="C32" s="20">
        <v>31</v>
      </c>
      <c r="D32" s="21">
        <v>0.58161666666666667</v>
      </c>
      <c r="E32" s="21">
        <v>2.48E-3</v>
      </c>
      <c r="F32" s="18">
        <f t="shared" si="1"/>
        <v>0.31521888368597523</v>
      </c>
      <c r="H32" s="5" t="s">
        <v>27</v>
      </c>
      <c r="I32" s="15">
        <f>AVERAGE(F32,F33,F34,F38,F39)</f>
        <v>0.23097706546101601</v>
      </c>
    </row>
    <row r="33" spans="1:9" x14ac:dyDescent="0.2">
      <c r="B33" s="17" t="s">
        <v>28</v>
      </c>
      <c r="C33" s="20">
        <v>30</v>
      </c>
      <c r="D33" s="21">
        <v>0.38307000000000002</v>
      </c>
      <c r="E33" s="21">
        <v>1.97E-3</v>
      </c>
      <c r="F33" s="18">
        <f>D33/(E33*C33*24)</f>
        <v>0.27007191201353636</v>
      </c>
    </row>
    <row r="34" spans="1:9" x14ac:dyDescent="0.2">
      <c r="B34" s="17" t="s">
        <v>8</v>
      </c>
      <c r="C34" s="20">
        <v>31</v>
      </c>
      <c r="D34" s="21">
        <v>0.28240666666666664</v>
      </c>
      <c r="E34" s="21">
        <v>2.3900000000000002E-3</v>
      </c>
      <c r="F34" s="18">
        <f>D34/(E34*C34*24)</f>
        <v>0.15881960378518614</v>
      </c>
    </row>
    <row r="35" spans="1:9" x14ac:dyDescent="0.2">
      <c r="B35" s="17" t="s">
        <v>29</v>
      </c>
      <c r="C35" s="20">
        <v>30</v>
      </c>
      <c r="D35" s="21">
        <v>0.11395666666666666</v>
      </c>
      <c r="E35" s="21">
        <v>8.0666666666666658E-4</v>
      </c>
      <c r="F35" s="18">
        <f t="shared" ref="F35:F38" si="2">D35/(E35*C35*24)</f>
        <v>0.1962063820018366</v>
      </c>
    </row>
    <row r="36" spans="1:9" x14ac:dyDescent="0.2">
      <c r="B36" s="19" t="s">
        <v>30</v>
      </c>
      <c r="C36" s="20">
        <v>31</v>
      </c>
      <c r="D36" s="21">
        <v>9.6863333333333343E-2</v>
      </c>
      <c r="E36" s="21">
        <v>6.8000000000000005E-4</v>
      </c>
      <c r="F36" s="18">
        <f t="shared" si="2"/>
        <v>0.19145978283786633</v>
      </c>
    </row>
    <row r="37" spans="1:9" x14ac:dyDescent="0.2">
      <c r="B37" s="19" t="s">
        <v>31</v>
      </c>
      <c r="C37" s="20">
        <v>31</v>
      </c>
      <c r="D37" s="21">
        <v>8.1373333333333339E-2</v>
      </c>
      <c r="E37" s="21">
        <v>5.0333333333333339E-4</v>
      </c>
      <c r="F37" s="18">
        <f t="shared" si="2"/>
        <v>0.217296873887346</v>
      </c>
    </row>
    <row r="38" spans="1:9" x14ac:dyDescent="0.2">
      <c r="B38" s="19" t="s">
        <v>32</v>
      </c>
      <c r="C38" s="20">
        <v>30</v>
      </c>
      <c r="D38" s="21">
        <v>0.11848333333333333</v>
      </c>
      <c r="E38" s="21">
        <v>1.2099999999999999E-3</v>
      </c>
      <c r="F38" s="18">
        <f t="shared" si="2"/>
        <v>0.13600015304560759</v>
      </c>
    </row>
    <row r="39" spans="1:9" x14ac:dyDescent="0.2">
      <c r="B39" s="17" t="s">
        <v>33</v>
      </c>
      <c r="C39" s="20">
        <v>31</v>
      </c>
      <c r="D39" s="21">
        <v>0.47905333333333333</v>
      </c>
      <c r="E39" s="21">
        <v>2.3433333333333331E-3</v>
      </c>
      <c r="F39" s="18">
        <f t="shared" si="1"/>
        <v>0.27477477477477485</v>
      </c>
    </row>
    <row r="40" spans="1:9" x14ac:dyDescent="0.2">
      <c r="B40" s="17" t="s">
        <v>34</v>
      </c>
      <c r="C40" s="20">
        <v>30</v>
      </c>
      <c r="D40" s="21">
        <v>0.6603633333333333</v>
      </c>
      <c r="E40" s="21">
        <v>2.9233333333333333E-3</v>
      </c>
      <c r="F40" s="18">
        <f t="shared" si="1"/>
        <v>0.31374160648676042</v>
      </c>
    </row>
    <row r="41" spans="1:9" x14ac:dyDescent="0.2">
      <c r="B41" s="17" t="s">
        <v>35</v>
      </c>
      <c r="C41" s="20">
        <v>31</v>
      </c>
      <c r="D41" s="21">
        <v>0.88447333333333333</v>
      </c>
      <c r="E41" s="21">
        <v>2.5833333333333333E-3</v>
      </c>
      <c r="F41" s="18">
        <f t="shared" si="1"/>
        <v>0.46018383628165105</v>
      </c>
      <c r="I41" s="15"/>
    </row>
    <row r="42" spans="1:9" x14ac:dyDescent="0.2">
      <c r="B42" s="1"/>
      <c r="C42" s="1"/>
      <c r="D42" s="1"/>
      <c r="E42" s="1"/>
      <c r="F42" s="14"/>
    </row>
    <row r="43" spans="1:9" x14ac:dyDescent="0.2">
      <c r="A43" s="16" t="s">
        <v>39</v>
      </c>
      <c r="B43" s="1"/>
      <c r="C43" s="1"/>
      <c r="D43" s="1"/>
      <c r="E43" s="1"/>
      <c r="F43" s="14"/>
    </row>
    <row r="44" spans="1:9" ht="51" x14ac:dyDescent="0.2">
      <c r="B44" s="10" t="s">
        <v>6</v>
      </c>
      <c r="C44" s="10" t="s">
        <v>37</v>
      </c>
      <c r="D44" s="10" t="s">
        <v>41</v>
      </c>
      <c r="E44" s="10" t="s">
        <v>40</v>
      </c>
      <c r="F44" s="10" t="s">
        <v>21</v>
      </c>
    </row>
    <row r="45" spans="1:9" x14ac:dyDescent="0.2">
      <c r="B45" s="17" t="s">
        <v>22</v>
      </c>
      <c r="C45" s="20">
        <v>31</v>
      </c>
      <c r="D45" s="21">
        <v>1.3065033333333333</v>
      </c>
      <c r="E45" s="21">
        <v>4.2133333333333328E-3</v>
      </c>
      <c r="F45" s="18">
        <f>D45/(E45*C45*24)</f>
        <v>0.41678469953722619</v>
      </c>
      <c r="H45" s="5" t="s">
        <v>23</v>
      </c>
      <c r="I45" s="15">
        <f>AVERAGE(F55,F56,F45,F46)</f>
        <v>0.42570166178584962</v>
      </c>
    </row>
    <row r="46" spans="1:9" x14ac:dyDescent="0.2">
      <c r="B46" s="17" t="s">
        <v>24</v>
      </c>
      <c r="C46" s="20">
        <v>28</v>
      </c>
      <c r="D46" s="21">
        <v>1.3065033333333333</v>
      </c>
      <c r="E46" s="21">
        <v>4.2133333333333328E-3</v>
      </c>
      <c r="F46" s="18">
        <f t="shared" ref="F46:F56" si="3">D46/(E46*C46*24)</f>
        <v>0.4614402030590718</v>
      </c>
      <c r="H46" s="5" t="s">
        <v>25</v>
      </c>
      <c r="I46" s="15">
        <f>AVERAGE(F50:F52)</f>
        <v>0.21568058824586864</v>
      </c>
    </row>
    <row r="47" spans="1:9" x14ac:dyDescent="0.2">
      <c r="B47" s="17" t="s">
        <v>26</v>
      </c>
      <c r="C47" s="20">
        <v>31</v>
      </c>
      <c r="D47" s="21">
        <v>0.58189999999999997</v>
      </c>
      <c r="E47" s="21">
        <v>3.1733333333333336E-3</v>
      </c>
      <c r="F47" s="18">
        <f t="shared" si="3"/>
        <v>0.24646753862835452</v>
      </c>
      <c r="H47" s="5" t="s">
        <v>27</v>
      </c>
      <c r="I47" s="15">
        <f>AVERAGE(F47,F48,F49,F53,F54)</f>
        <v>0.22618811835619032</v>
      </c>
    </row>
    <row r="48" spans="1:9" x14ac:dyDescent="0.2">
      <c r="B48" s="17" t="s">
        <v>28</v>
      </c>
      <c r="C48" s="20">
        <v>30</v>
      </c>
      <c r="D48" s="21">
        <v>0.58189999999999997</v>
      </c>
      <c r="E48" s="21">
        <v>3.1733333333333336E-3</v>
      </c>
      <c r="F48" s="18">
        <f t="shared" si="3"/>
        <v>0.2546831232492997</v>
      </c>
    </row>
    <row r="49" spans="1:12" x14ac:dyDescent="0.2">
      <c r="B49" s="17" t="s">
        <v>8</v>
      </c>
      <c r="C49" s="20">
        <v>31</v>
      </c>
      <c r="D49" s="21">
        <v>0.42106333333333335</v>
      </c>
      <c r="E49" s="21">
        <v>2.7233333333333332E-3</v>
      </c>
      <c r="F49" s="18">
        <f>D49/(E49*C49*24)</f>
        <v>0.20781346652452587</v>
      </c>
    </row>
    <row r="50" spans="1:12" x14ac:dyDescent="0.2">
      <c r="B50" s="17" t="s">
        <v>29</v>
      </c>
      <c r="C50" s="20">
        <v>30</v>
      </c>
      <c r="D50" s="21">
        <v>6.5476666666666669E-2</v>
      </c>
      <c r="E50" s="21">
        <v>4.8666666666666666E-4</v>
      </c>
      <c r="F50" s="18">
        <f t="shared" ref="F50:F53" si="4">D50/(E50*C50*24)</f>
        <v>0.18686263318112634</v>
      </c>
    </row>
    <row r="51" spans="1:12" x14ac:dyDescent="0.2">
      <c r="B51" s="19" t="s">
        <v>30</v>
      </c>
      <c r="C51" s="20">
        <v>31</v>
      </c>
      <c r="D51" s="21">
        <v>6.396333333333333E-2</v>
      </c>
      <c r="E51" s="21">
        <v>2.9333333333333333E-4</v>
      </c>
      <c r="F51" s="18">
        <f t="shared" si="4"/>
        <v>0.29308712121212122</v>
      </c>
    </row>
    <row r="52" spans="1:12" x14ac:dyDescent="0.2">
      <c r="B52" s="19" t="s">
        <v>31</v>
      </c>
      <c r="C52" s="20">
        <v>31</v>
      </c>
      <c r="D52" s="21">
        <v>6.5473333333333342E-2</v>
      </c>
      <c r="E52" s="21">
        <v>5.266666666666666E-4</v>
      </c>
      <c r="F52" s="18">
        <f t="shared" si="4"/>
        <v>0.1670920103443583</v>
      </c>
    </row>
    <row r="53" spans="1:12" x14ac:dyDescent="0.2">
      <c r="B53" s="19" t="s">
        <v>32</v>
      </c>
      <c r="C53" s="20">
        <v>30</v>
      </c>
      <c r="D53" s="21">
        <v>0.15025666666666668</v>
      </c>
      <c r="E53" s="21">
        <v>1.5266666666666666E-3</v>
      </c>
      <c r="F53" s="18">
        <f t="shared" si="4"/>
        <v>0.1366963852498787</v>
      </c>
    </row>
    <row r="54" spans="1:12" x14ac:dyDescent="0.2">
      <c r="B54" s="17" t="s">
        <v>33</v>
      </c>
      <c r="C54" s="20">
        <v>31</v>
      </c>
      <c r="D54" s="21">
        <v>0.76338666666666677</v>
      </c>
      <c r="E54" s="21">
        <v>3.5966666666666668E-3</v>
      </c>
      <c r="F54" s="18">
        <f t="shared" si="3"/>
        <v>0.28528007812889278</v>
      </c>
    </row>
    <row r="55" spans="1:12" x14ac:dyDescent="0.2">
      <c r="B55" s="17" t="s">
        <v>34</v>
      </c>
      <c r="C55" s="20">
        <v>30</v>
      </c>
      <c r="D55" s="21">
        <v>1.0217633333333334</v>
      </c>
      <c r="E55" s="21">
        <v>3.7499999999999999E-3</v>
      </c>
      <c r="F55" s="18">
        <f t="shared" si="3"/>
        <v>0.37843086419753091</v>
      </c>
    </row>
    <row r="56" spans="1:12" x14ac:dyDescent="0.2">
      <c r="B56" s="17" t="s">
        <v>35</v>
      </c>
      <c r="C56" s="20">
        <v>31</v>
      </c>
      <c r="D56" s="21">
        <v>1.3886000000000001</v>
      </c>
      <c r="E56" s="21">
        <v>4.1833333333333332E-3</v>
      </c>
      <c r="F56" s="18">
        <f t="shared" si="3"/>
        <v>0.44615088034956951</v>
      </c>
      <c r="I56" s="15"/>
    </row>
    <row r="57" spans="1:12" x14ac:dyDescent="0.2">
      <c r="B57" s="1"/>
      <c r="C57" s="1"/>
      <c r="D57" s="1"/>
      <c r="E57" s="1"/>
      <c r="F57" s="14"/>
    </row>
    <row r="58" spans="1:12" x14ac:dyDescent="0.2">
      <c r="A58" s="16" t="s">
        <v>45</v>
      </c>
    </row>
    <row r="59" spans="1:12" x14ac:dyDescent="0.2">
      <c r="A59" s="31" t="s">
        <v>50</v>
      </c>
    </row>
    <row r="61" spans="1:12" ht="25.5" x14ac:dyDescent="0.2">
      <c r="B61" s="10" t="s">
        <v>6</v>
      </c>
      <c r="C61" s="10" t="s">
        <v>37</v>
      </c>
      <c r="D61" s="10" t="s">
        <v>46</v>
      </c>
      <c r="E61" s="10" t="s">
        <v>47</v>
      </c>
      <c r="F61" s="10" t="s">
        <v>48</v>
      </c>
      <c r="G61" s="10" t="s">
        <v>49</v>
      </c>
      <c r="H61" s="10" t="s">
        <v>21</v>
      </c>
      <c r="I61" s="10" t="s">
        <v>56</v>
      </c>
    </row>
    <row r="62" spans="1:12" x14ac:dyDescent="0.2">
      <c r="B62" s="17" t="s">
        <v>22</v>
      </c>
      <c r="C62" s="20">
        <v>30</v>
      </c>
      <c r="D62" s="28">
        <v>77936.943875728626</v>
      </c>
      <c r="E62" s="28">
        <v>176041.05612427136</v>
      </c>
      <c r="F62" s="29">
        <f t="shared" ref="F62:F73" si="5">E62+D62</f>
        <v>253978</v>
      </c>
      <c r="G62" s="28">
        <v>408</v>
      </c>
      <c r="H62" s="18">
        <f>F62/(G62*C62*24)</f>
        <v>0.86457652505446625</v>
      </c>
      <c r="I62" s="18">
        <f>D62/E62</f>
        <v>0.4427202698710872</v>
      </c>
      <c r="K62" s="5" t="s">
        <v>23</v>
      </c>
      <c r="L62" s="15">
        <f>AVERAGE(H72,H73,H62,H63)</f>
        <v>0.80944568281368245</v>
      </c>
    </row>
    <row r="63" spans="1:12" x14ac:dyDescent="0.2">
      <c r="B63" s="17" t="s">
        <v>24</v>
      </c>
      <c r="C63" s="20">
        <v>30</v>
      </c>
      <c r="D63" s="28">
        <v>77936.943875728626</v>
      </c>
      <c r="E63" s="28">
        <v>176041.05612427136</v>
      </c>
      <c r="F63" s="29">
        <f t="shared" si="5"/>
        <v>253978</v>
      </c>
      <c r="G63" s="28">
        <v>408</v>
      </c>
      <c r="H63" s="18">
        <f t="shared" ref="H63:H73" si="6">F63/(G63*C63*24)</f>
        <v>0.86457652505446625</v>
      </c>
      <c r="I63" s="18">
        <f t="shared" ref="I63:I73" si="7">D63/E63</f>
        <v>0.4427202698710872</v>
      </c>
      <c r="K63" s="5" t="s">
        <v>25</v>
      </c>
      <c r="L63" s="15">
        <f>AVERAGE(H67:H69)</f>
        <v>0.59657890274177827</v>
      </c>
    </row>
    <row r="64" spans="1:12" x14ac:dyDescent="0.2">
      <c r="B64" s="17" t="s">
        <v>26</v>
      </c>
      <c r="C64" s="20">
        <v>30</v>
      </c>
      <c r="D64" s="28">
        <v>77936.943875728626</v>
      </c>
      <c r="E64" s="28">
        <v>134417.05612427136</v>
      </c>
      <c r="F64" s="29">
        <f t="shared" si="5"/>
        <v>212354</v>
      </c>
      <c r="G64" s="28">
        <v>376</v>
      </c>
      <c r="H64" s="18">
        <f t="shared" si="6"/>
        <v>0.78440455082742322</v>
      </c>
      <c r="I64" s="18">
        <f t="shared" si="7"/>
        <v>0.57981439352216069</v>
      </c>
      <c r="K64" s="5" t="s">
        <v>27</v>
      </c>
      <c r="L64" s="15">
        <f>AVERAGE(H64,H65,H66,H70,H71)</f>
        <v>0.61244862544158385</v>
      </c>
    </row>
    <row r="65" spans="1:12" x14ac:dyDescent="0.2">
      <c r="B65" s="17" t="s">
        <v>28</v>
      </c>
      <c r="C65" s="20">
        <v>29</v>
      </c>
      <c r="D65" s="28">
        <v>68881</v>
      </c>
      <c r="E65" s="28">
        <v>95366</v>
      </c>
      <c r="F65" s="29">
        <f t="shared" si="5"/>
        <v>164247</v>
      </c>
      <c r="G65" s="28">
        <v>501</v>
      </c>
      <c r="H65" s="18">
        <f t="shared" si="6"/>
        <v>0.47103207378346756</v>
      </c>
      <c r="I65" s="18">
        <f t="shared" si="7"/>
        <v>0.72228047731896061</v>
      </c>
    </row>
    <row r="66" spans="1:12" x14ac:dyDescent="0.2">
      <c r="B66" s="17" t="s">
        <v>8</v>
      </c>
      <c r="C66" s="20">
        <v>29</v>
      </c>
      <c r="D66" s="28">
        <v>80873</v>
      </c>
      <c r="E66" s="28">
        <v>81109</v>
      </c>
      <c r="F66" s="29">
        <f t="shared" si="5"/>
        <v>161982</v>
      </c>
      <c r="G66" s="28">
        <v>448</v>
      </c>
      <c r="H66" s="18">
        <f t="shared" si="6"/>
        <v>0.51949276477832518</v>
      </c>
      <c r="I66" s="18">
        <f t="shared" si="7"/>
        <v>0.99709033522790325</v>
      </c>
      <c r="K66" s="5" t="s">
        <v>58</v>
      </c>
      <c r="L66" s="15">
        <f>AVERAGE(I72,I73,I62,I63)</f>
        <v>0.4711598915315578</v>
      </c>
    </row>
    <row r="67" spans="1:12" x14ac:dyDescent="0.2">
      <c r="B67" s="17" t="s">
        <v>29</v>
      </c>
      <c r="C67" s="20">
        <v>32</v>
      </c>
      <c r="D67" s="28">
        <v>96564</v>
      </c>
      <c r="E67" s="28">
        <v>101526</v>
      </c>
      <c r="F67" s="29">
        <f t="shared" si="5"/>
        <v>198090</v>
      </c>
      <c r="G67" s="28">
        <v>473</v>
      </c>
      <c r="H67" s="18">
        <f t="shared" si="6"/>
        <v>0.54530589323467227</v>
      </c>
      <c r="I67" s="18">
        <f t="shared" si="7"/>
        <v>0.95112581998699841</v>
      </c>
      <c r="K67" s="5" t="s">
        <v>57</v>
      </c>
      <c r="L67" s="15">
        <f>AVERAGE(I67:I69)</f>
        <v>0.7676358578477197</v>
      </c>
    </row>
    <row r="68" spans="1:12" x14ac:dyDescent="0.2">
      <c r="B68" s="19" t="s">
        <v>30</v>
      </c>
      <c r="C68" s="20">
        <v>30</v>
      </c>
      <c r="D68" s="28">
        <v>88375.259982464937</v>
      </c>
      <c r="E68" s="28">
        <v>130753.74001753506</v>
      </c>
      <c r="F68" s="29">
        <f t="shared" si="5"/>
        <v>219129</v>
      </c>
      <c r="G68" s="28">
        <v>499.34509493219633</v>
      </c>
      <c r="H68" s="18">
        <f t="shared" si="6"/>
        <v>0.60948998282372036</v>
      </c>
      <c r="I68" s="18">
        <f t="shared" si="7"/>
        <v>0.67589087677808024</v>
      </c>
      <c r="K68" s="5" t="s">
        <v>59</v>
      </c>
      <c r="L68" s="15">
        <f>AVERAGE(I64,I65,I66,I70,I71)</f>
        <v>0.69538006640784944</v>
      </c>
    </row>
    <row r="69" spans="1:12" x14ac:dyDescent="0.2">
      <c r="B69" s="19" t="s">
        <v>31</v>
      </c>
      <c r="C69" s="20">
        <v>29</v>
      </c>
      <c r="D69" s="28">
        <v>96599</v>
      </c>
      <c r="E69" s="28">
        <v>142921</v>
      </c>
      <c r="F69" s="29">
        <f t="shared" si="5"/>
        <v>239520</v>
      </c>
      <c r="G69" s="28">
        <v>542</v>
      </c>
      <c r="H69" s="18">
        <f t="shared" si="6"/>
        <v>0.6349408321669423</v>
      </c>
      <c r="I69" s="18">
        <f t="shared" si="7"/>
        <v>0.67589087677808024</v>
      </c>
    </row>
    <row r="70" spans="1:12" x14ac:dyDescent="0.2">
      <c r="B70" s="19" t="s">
        <v>32</v>
      </c>
      <c r="C70" s="20">
        <v>32</v>
      </c>
      <c r="D70" s="28">
        <v>88620</v>
      </c>
      <c r="E70" s="28">
        <v>142720</v>
      </c>
      <c r="F70" s="29">
        <f t="shared" si="5"/>
        <v>231340</v>
      </c>
      <c r="G70" s="28">
        <v>470</v>
      </c>
      <c r="H70" s="18">
        <f t="shared" si="6"/>
        <v>0.64090203900709219</v>
      </c>
      <c r="I70" s="18">
        <f t="shared" si="7"/>
        <v>0.62093609865470856</v>
      </c>
    </row>
    <row r="71" spans="1:12" x14ac:dyDescent="0.2">
      <c r="B71" s="17" t="s">
        <v>33</v>
      </c>
      <c r="C71" s="20">
        <v>29</v>
      </c>
      <c r="D71" s="28">
        <v>75948</v>
      </c>
      <c r="E71" s="28">
        <v>136406</v>
      </c>
      <c r="F71" s="29">
        <f t="shared" si="5"/>
        <v>212354</v>
      </c>
      <c r="G71" s="28">
        <v>472</v>
      </c>
      <c r="H71" s="18">
        <f t="shared" si="6"/>
        <v>0.64641169881161109</v>
      </c>
      <c r="I71" s="18">
        <f t="shared" si="7"/>
        <v>0.55677902731551399</v>
      </c>
    </row>
    <row r="72" spans="1:12" x14ac:dyDescent="0.2">
      <c r="B72" s="17" t="s">
        <v>34</v>
      </c>
      <c r="C72" s="20">
        <v>33</v>
      </c>
      <c r="D72" s="28">
        <v>82294</v>
      </c>
      <c r="E72" s="28">
        <v>171684</v>
      </c>
      <c r="F72" s="29">
        <f t="shared" si="5"/>
        <v>253978</v>
      </c>
      <c r="G72" s="28">
        <v>428</v>
      </c>
      <c r="H72" s="18">
        <f t="shared" si="6"/>
        <v>0.74925068441423581</v>
      </c>
      <c r="I72" s="18">
        <f t="shared" si="7"/>
        <v>0.47933412548635868</v>
      </c>
    </row>
    <row r="73" spans="1:12" x14ac:dyDescent="0.2">
      <c r="B73" s="17" t="s">
        <v>35</v>
      </c>
      <c r="C73" s="20">
        <v>31</v>
      </c>
      <c r="D73" s="28">
        <v>87735</v>
      </c>
      <c r="E73" s="28">
        <v>168765</v>
      </c>
      <c r="F73" s="29">
        <f t="shared" si="5"/>
        <v>256500</v>
      </c>
      <c r="G73" s="28">
        <v>454</v>
      </c>
      <c r="H73" s="18">
        <f t="shared" si="6"/>
        <v>0.75937899673156173</v>
      </c>
      <c r="I73" s="18">
        <f t="shared" si="7"/>
        <v>0.51986490089769799</v>
      </c>
    </row>
    <row r="77" spans="1:12" x14ac:dyDescent="0.2">
      <c r="A77" s="16" t="s">
        <v>72</v>
      </c>
    </row>
    <row r="78" spans="1:12" x14ac:dyDescent="0.2">
      <c r="A78" s="16"/>
    </row>
    <row r="79" spans="1:12" x14ac:dyDescent="0.2">
      <c r="A79" s="30" t="s">
        <v>73</v>
      </c>
    </row>
    <row r="96" spans="1:1" x14ac:dyDescent="0.2">
      <c r="A96" s="30" t="s">
        <v>74</v>
      </c>
    </row>
    <row r="100" spans="13:18" x14ac:dyDescent="0.2">
      <c r="M100" s="5" t="s">
        <v>61</v>
      </c>
      <c r="O100" s="40">
        <v>43838</v>
      </c>
      <c r="P100" s="41">
        <v>43842</v>
      </c>
      <c r="Q100" s="41">
        <v>43871</v>
      </c>
      <c r="R100" s="41">
        <v>43898</v>
      </c>
    </row>
    <row r="101" spans="13:18" x14ac:dyDescent="0.2">
      <c r="M101" s="5" t="s">
        <v>62</v>
      </c>
      <c r="O101" s="13">
        <v>139</v>
      </c>
      <c r="P101" s="13">
        <v>178</v>
      </c>
      <c r="Q101" s="13">
        <v>155</v>
      </c>
      <c r="R101" s="13">
        <v>88</v>
      </c>
    </row>
    <row r="102" spans="13:18" x14ac:dyDescent="0.2">
      <c r="M102" s="5" t="s">
        <v>63</v>
      </c>
      <c r="O102" s="13">
        <v>334</v>
      </c>
      <c r="P102" s="13">
        <v>430</v>
      </c>
      <c r="Q102" s="13">
        <v>367</v>
      </c>
      <c r="R102" s="13">
        <v>319</v>
      </c>
    </row>
    <row r="103" spans="13:18" x14ac:dyDescent="0.2">
      <c r="M103" s="5" t="s">
        <v>64</v>
      </c>
      <c r="O103" s="13">
        <v>247</v>
      </c>
      <c r="P103" s="13">
        <v>233</v>
      </c>
      <c r="Q103" s="13">
        <v>248</v>
      </c>
      <c r="R103" s="13">
        <v>250</v>
      </c>
    </row>
    <row r="104" spans="13:18" x14ac:dyDescent="0.2">
      <c r="M104" s="5" t="s">
        <v>65</v>
      </c>
      <c r="O104" s="5">
        <f>O102-O101</f>
        <v>195</v>
      </c>
      <c r="P104" s="5">
        <f>P102-P101</f>
        <v>252</v>
      </c>
      <c r="Q104" s="5">
        <f>Q102-Q101</f>
        <v>212</v>
      </c>
      <c r="R104" s="5">
        <f>R102-R101</f>
        <v>231</v>
      </c>
    </row>
    <row r="105" spans="13:18" x14ac:dyDescent="0.2">
      <c r="M105" s="5" t="s">
        <v>66</v>
      </c>
      <c r="O105" s="5">
        <f>O102-O103</f>
        <v>87</v>
      </c>
      <c r="P105" s="5">
        <f>P102-P103</f>
        <v>197</v>
      </c>
      <c r="Q105" s="5">
        <f>Q102-Q103</f>
        <v>119</v>
      </c>
      <c r="R105" s="5">
        <f>R102-R103</f>
        <v>69</v>
      </c>
    </row>
    <row r="106" spans="13:18" x14ac:dyDescent="0.2">
      <c r="M106" s="5" t="s">
        <v>67</v>
      </c>
      <c r="O106" s="39">
        <f>O105/O104</f>
        <v>0.44615384615384618</v>
      </c>
      <c r="P106" s="39">
        <f>P105/P104</f>
        <v>0.78174603174603174</v>
      </c>
      <c r="Q106" s="39">
        <f>Q105/Q104</f>
        <v>0.56132075471698117</v>
      </c>
      <c r="R106" s="39">
        <f>R105/R104</f>
        <v>0.29870129870129869</v>
      </c>
    </row>
  </sheetData>
  <sortState xmlns:xlrd2="http://schemas.microsoft.com/office/spreadsheetml/2017/richdata2" ref="P25:U35">
    <sortCondition ref="P25:P35"/>
  </sortState>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Electrification Calculator</vt:lpstr>
      <vt:lpstr>Lookups</vt:lpstr>
      <vt:lpstr>Net Present Costs</vt:lpstr>
      <vt:lpstr>Demand Data</vt:lpstr>
      <vt:lpstr>Commercial</vt:lpstr>
      <vt:lpstr>Custom</vt:lpstr>
      <vt:lpstr>RateType</vt:lpstr>
      <vt:lpstr>Residential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Blake</dc:creator>
  <cp:lastModifiedBy>Celeste Cizik</cp:lastModifiedBy>
  <cp:lastPrinted>2020-05-13T16:56:00Z</cp:lastPrinted>
  <dcterms:created xsi:type="dcterms:W3CDTF">2020-03-18T17:38:43Z</dcterms:created>
  <dcterms:modified xsi:type="dcterms:W3CDTF">2020-06-30T16:02:50Z</dcterms:modified>
</cp:coreProperties>
</file>