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energy-my.sharepoint.com/personal/jeanine_murphy_communityenergyinc_com/Documents/Desktop/"/>
    </mc:Choice>
  </mc:AlternateContent>
  <xr:revisionPtr revIDLastSave="0" documentId="8_{2593A771-59E2-4EFD-94B3-B33086EEEF27}" xr6:coauthVersionLast="43" xr6:coauthVersionMax="43" xr10:uidLastSave="{00000000-0000-0000-0000-000000000000}"/>
  <bookViews>
    <workbookView xWindow="-120" yWindow="-120" windowWidth="24240" windowHeight="13140" xr2:uid="{7125ADD0-4AEF-B141-BC4A-1F193FBB03EB}"/>
  </bookViews>
  <sheets>
    <sheet name="Costs" sheetId="2" r:id="rId1"/>
    <sheet name="GHG Emiss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2" l="1"/>
  <c r="R1" i="2"/>
  <c r="W1" i="2"/>
  <c r="AG1" i="2"/>
  <c r="K1" i="2"/>
  <c r="AH21" i="2" l="1"/>
  <c r="L28" i="2"/>
  <c r="M28" i="2"/>
  <c r="N28" i="2"/>
  <c r="AN3" i="2" s="1"/>
  <c r="O28" i="2"/>
  <c r="P28" i="2"/>
  <c r="Q28" i="2"/>
  <c r="R28" i="2"/>
  <c r="AR3" i="2" s="1"/>
  <c r="S28" i="2"/>
  <c r="T28" i="2"/>
  <c r="U28" i="2"/>
  <c r="AU3" i="2" s="1"/>
  <c r="V28" i="2"/>
  <c r="AV3" i="2" s="1"/>
  <c r="W28" i="2"/>
  <c r="X28" i="2"/>
  <c r="Y28" i="2"/>
  <c r="Z28" i="2"/>
  <c r="AZ3" i="2" s="1"/>
  <c r="AA28" i="2"/>
  <c r="AB28" i="2"/>
  <c r="AC28" i="2"/>
  <c r="AD28" i="2"/>
  <c r="BD3" i="2" s="1"/>
  <c r="AE28" i="2"/>
  <c r="AF28" i="2"/>
  <c r="AG28" i="2"/>
  <c r="K28" i="2"/>
  <c r="AK3" i="2" s="1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L20" i="2"/>
  <c r="K16" i="2"/>
  <c r="K17" i="2"/>
  <c r="K18" i="2"/>
  <c r="K23" i="2" s="1"/>
  <c r="K15" i="2"/>
  <c r="K22" i="2" s="1"/>
  <c r="K11" i="2"/>
  <c r="K12" i="2"/>
  <c r="K13" i="2"/>
  <c r="K10" i="2"/>
  <c r="M4" i="2"/>
  <c r="M16" i="2" s="1"/>
  <c r="L4" i="2"/>
  <c r="L5" i="2"/>
  <c r="M5" i="2" s="1"/>
  <c r="L6" i="2"/>
  <c r="M6" i="2" s="1"/>
  <c r="L3" i="2"/>
  <c r="M3" i="2" s="1"/>
  <c r="Y7" i="2"/>
  <c r="Z7" i="2"/>
  <c r="AA7" i="2"/>
  <c r="AB7" i="2"/>
  <c r="AC7" i="2"/>
  <c r="AD7" i="2"/>
  <c r="AE7" i="2"/>
  <c r="AF7" i="2"/>
  <c r="Y8" i="2"/>
  <c r="Z8" i="2"/>
  <c r="AA8" i="2"/>
  <c r="AB8" i="2"/>
  <c r="AC8" i="2"/>
  <c r="AD8" i="2"/>
  <c r="AE8" i="2"/>
  <c r="AF8" i="2"/>
  <c r="X8" i="2"/>
  <c r="X7" i="2"/>
  <c r="T7" i="2"/>
  <c r="U7" i="2"/>
  <c r="V7" i="2"/>
  <c r="T8" i="2"/>
  <c r="U8" i="2"/>
  <c r="V8" i="2"/>
  <c r="S8" i="2"/>
  <c r="S7" i="2"/>
  <c r="N8" i="2"/>
  <c r="O8" i="2"/>
  <c r="P8" i="2"/>
  <c r="Q8" i="2"/>
  <c r="O7" i="2"/>
  <c r="P7" i="2"/>
  <c r="Q7" i="2"/>
  <c r="N7" i="2"/>
  <c r="L8" i="2"/>
  <c r="L7" i="2"/>
  <c r="L12" i="2" s="1"/>
  <c r="L11" i="2" l="1"/>
  <c r="N3" i="2"/>
  <c r="O3" i="2" s="1"/>
  <c r="P3" i="2" s="1"/>
  <c r="Q3" i="2" s="1"/>
  <c r="M15" i="2"/>
  <c r="M22" i="2" s="1"/>
  <c r="M29" i="2" s="1"/>
  <c r="M10" i="2"/>
  <c r="N6" i="2"/>
  <c r="O6" i="2" s="1"/>
  <c r="O13" i="2" s="1"/>
  <c r="M18" i="2"/>
  <c r="M23" i="2" s="1"/>
  <c r="M30" i="2" s="1"/>
  <c r="M13" i="2"/>
  <c r="M12" i="2"/>
  <c r="N5" i="2"/>
  <c r="M17" i="2"/>
  <c r="L1" i="2"/>
  <c r="L16" i="2"/>
  <c r="L18" i="2"/>
  <c r="L23" i="2" s="1"/>
  <c r="L30" i="2" s="1"/>
  <c r="U1" i="2"/>
  <c r="M11" i="2"/>
  <c r="Q10" i="2"/>
  <c r="K29" i="2"/>
  <c r="N10" i="2"/>
  <c r="Q1" i="2"/>
  <c r="T1" i="2"/>
  <c r="AD1" i="2"/>
  <c r="Z1" i="2"/>
  <c r="L10" i="2"/>
  <c r="N13" i="2"/>
  <c r="P10" i="2"/>
  <c r="K30" i="2"/>
  <c r="L17" i="2"/>
  <c r="N1" i="2"/>
  <c r="N15" i="2"/>
  <c r="N22" i="2" s="1"/>
  <c r="N29" i="2" s="1"/>
  <c r="N17" i="2"/>
  <c r="AE1" i="2"/>
  <c r="S1" i="2"/>
  <c r="X1" i="2"/>
  <c r="Y1" i="2"/>
  <c r="L13" i="2"/>
  <c r="O10" i="2"/>
  <c r="AA1" i="2"/>
  <c r="P1" i="2"/>
  <c r="AC1" i="2"/>
  <c r="O1" i="2"/>
  <c r="O15" i="2"/>
  <c r="O22" i="2" s="1"/>
  <c r="O29" i="2" s="1"/>
  <c r="O40" i="2" s="1"/>
  <c r="V1" i="2"/>
  <c r="AF1" i="2"/>
  <c r="AB1" i="2"/>
  <c r="N4" i="2"/>
  <c r="O4" i="2" s="1"/>
  <c r="P4" i="2" s="1"/>
  <c r="Q4" i="2" s="1"/>
  <c r="R4" i="2" s="1"/>
  <c r="L15" i="2"/>
  <c r="L22" i="2" s="1"/>
  <c r="L29" i="2" s="1"/>
  <c r="L40" i="2" s="1"/>
  <c r="BG3" i="2"/>
  <c r="BC3" i="2"/>
  <c r="AY3" i="2"/>
  <c r="AQ3" i="2"/>
  <c r="M40" i="2"/>
  <c r="AM3" i="2"/>
  <c r="BF3" i="2"/>
  <c r="BB3" i="2"/>
  <c r="AX3" i="2"/>
  <c r="AT3" i="2"/>
  <c r="AP3" i="2"/>
  <c r="AL3" i="2"/>
  <c r="BE3" i="2"/>
  <c r="BA3" i="2"/>
  <c r="AW3" i="2"/>
  <c r="AS3" i="2"/>
  <c r="AO3" i="2"/>
  <c r="C37" i="2"/>
  <c r="D37" i="2" s="1"/>
  <c r="F37" i="2" s="1"/>
  <c r="A29" i="2"/>
  <c r="D33" i="2" s="1"/>
  <c r="C54" i="2" s="1"/>
  <c r="C29" i="2"/>
  <c r="D34" i="2" l="1"/>
  <c r="C59" i="2" s="1"/>
  <c r="C33" i="2"/>
  <c r="D54" i="2"/>
  <c r="F54" i="2" s="1"/>
  <c r="C55" i="2"/>
  <c r="D55" i="2" s="1"/>
  <c r="F55" i="2" s="1"/>
  <c r="C56" i="2"/>
  <c r="D56" i="2" s="1"/>
  <c r="F56" i="2" s="1"/>
  <c r="D59" i="2"/>
  <c r="F59" i="2" s="1"/>
  <c r="C57" i="2"/>
  <c r="D57" i="2" s="1"/>
  <c r="F57" i="2" s="1"/>
  <c r="C58" i="2"/>
  <c r="D58" i="2" s="1"/>
  <c r="F58" i="2" s="1"/>
  <c r="C30" i="2"/>
  <c r="C31" i="2"/>
  <c r="D32" i="2"/>
  <c r="C49" i="2" s="1"/>
  <c r="C50" i="2" s="1"/>
  <c r="D50" i="2" s="1"/>
  <c r="F50" i="2" s="1"/>
  <c r="S4" i="2"/>
  <c r="R11" i="2"/>
  <c r="R16" i="2"/>
  <c r="O11" i="2"/>
  <c r="N11" i="2"/>
  <c r="O5" i="2"/>
  <c r="N12" i="2"/>
  <c r="C34" i="2"/>
  <c r="D30" i="2"/>
  <c r="C39" i="2" s="1"/>
  <c r="D39" i="2" s="1"/>
  <c r="F39" i="2" s="1"/>
  <c r="D31" i="2"/>
  <c r="C44" i="2" s="1"/>
  <c r="N16" i="2"/>
  <c r="AN4" i="2"/>
  <c r="N32" i="2"/>
  <c r="N40" i="2"/>
  <c r="P15" i="2"/>
  <c r="P22" i="2" s="1"/>
  <c r="P29" i="2" s="1"/>
  <c r="M42" i="2"/>
  <c r="M33" i="2"/>
  <c r="M37" i="2" s="1"/>
  <c r="AM5" i="2"/>
  <c r="AL4" i="2"/>
  <c r="L32" i="2"/>
  <c r="L41" i="2"/>
  <c r="Q11" i="2"/>
  <c r="Q16" i="2"/>
  <c r="K41" i="2"/>
  <c r="AK4" i="2"/>
  <c r="K32" i="2"/>
  <c r="K40" i="2"/>
  <c r="O16" i="2"/>
  <c r="P6" i="2"/>
  <c r="O18" i="2"/>
  <c r="O23" i="2" s="1"/>
  <c r="O30" i="2" s="1"/>
  <c r="M41" i="2"/>
  <c r="AM4" i="2"/>
  <c r="M32" i="2"/>
  <c r="C32" i="2"/>
  <c r="O32" i="2"/>
  <c r="AO4" i="2"/>
  <c r="P16" i="2"/>
  <c r="AK5" i="2"/>
  <c r="K42" i="2"/>
  <c r="K33" i="2"/>
  <c r="K37" i="2" s="1"/>
  <c r="L42" i="2"/>
  <c r="AL5" i="2"/>
  <c r="L33" i="2"/>
  <c r="L37" i="2" s="1"/>
  <c r="N18" i="2"/>
  <c r="N23" i="2" s="1"/>
  <c r="R3" i="2"/>
  <c r="Q15" i="2"/>
  <c r="Q22" i="2" s="1"/>
  <c r="Q29" i="2" s="1"/>
  <c r="P11" i="2"/>
  <c r="S26" i="3"/>
  <c r="S30" i="3" s="1"/>
  <c r="T26" i="3"/>
  <c r="T30" i="3" s="1"/>
  <c r="U26" i="3"/>
  <c r="U30" i="3" s="1"/>
  <c r="V26" i="3"/>
  <c r="V30" i="3" s="1"/>
  <c r="W26" i="3"/>
  <c r="W30" i="3" s="1"/>
  <c r="X26" i="3"/>
  <c r="X30" i="3" s="1"/>
  <c r="Y26" i="3"/>
  <c r="Y30" i="3" s="1"/>
  <c r="X27" i="3"/>
  <c r="X31" i="3" s="1"/>
  <c r="Y27" i="3"/>
  <c r="Y31" i="3" s="1"/>
  <c r="S28" i="3"/>
  <c r="T28" i="3"/>
  <c r="T32" i="3" s="1"/>
  <c r="U28" i="3"/>
  <c r="U32" i="3" s="1"/>
  <c r="V28" i="3"/>
  <c r="V32" i="3" s="1"/>
  <c r="W28" i="3"/>
  <c r="X28" i="3"/>
  <c r="X32" i="3" s="1"/>
  <c r="Y28" i="3"/>
  <c r="Y32" i="3" s="1"/>
  <c r="T27" i="3" l="1"/>
  <c r="T31" i="3" s="1"/>
  <c r="AQ4" i="2"/>
  <c r="Q32" i="2"/>
  <c r="Q40" i="2"/>
  <c r="O35" i="2"/>
  <c r="M36" i="2"/>
  <c r="M35" i="2"/>
  <c r="Q6" i="2"/>
  <c r="P18" i="2"/>
  <c r="P23" i="2" s="1"/>
  <c r="P30" i="2" s="1"/>
  <c r="P13" i="2"/>
  <c r="T4" i="2"/>
  <c r="S11" i="2"/>
  <c r="S16" i="2"/>
  <c r="O42" i="2"/>
  <c r="AO5" i="2"/>
  <c r="O33" i="2"/>
  <c r="O37" i="2" s="1"/>
  <c r="C42" i="2"/>
  <c r="D42" i="2" s="1"/>
  <c r="F42" i="2" s="1"/>
  <c r="C43" i="2"/>
  <c r="D43" i="2" s="1"/>
  <c r="F43" i="2" s="1"/>
  <c r="D44" i="2"/>
  <c r="F44" i="2" s="1"/>
  <c r="C40" i="2"/>
  <c r="D40" i="2" s="1"/>
  <c r="F40" i="2" s="1"/>
  <c r="C41" i="2"/>
  <c r="D41" i="2" s="1"/>
  <c r="F41" i="2" s="1"/>
  <c r="C47" i="2"/>
  <c r="D47" i="2" s="1"/>
  <c r="F47" i="2" s="1"/>
  <c r="C48" i="2"/>
  <c r="D48" i="2" s="1"/>
  <c r="F48" i="2" s="1"/>
  <c r="C45" i="2"/>
  <c r="D45" i="2" s="1"/>
  <c r="F45" i="2" s="1"/>
  <c r="D49" i="2"/>
  <c r="F49" i="2" s="1"/>
  <c r="C46" i="2"/>
  <c r="D46" i="2" s="1"/>
  <c r="F46" i="2" s="1"/>
  <c r="C51" i="2"/>
  <c r="D51" i="2" s="1"/>
  <c r="F51" i="2" s="1"/>
  <c r="V27" i="3"/>
  <c r="V31" i="3" s="1"/>
  <c r="S3" i="2"/>
  <c r="R15" i="2"/>
  <c r="R22" i="2" s="1"/>
  <c r="R29" i="2" s="1"/>
  <c r="R10" i="2"/>
  <c r="O41" i="2"/>
  <c r="L35" i="2"/>
  <c r="L36" i="2"/>
  <c r="AP4" i="2"/>
  <c r="P32" i="2"/>
  <c r="P40" i="2"/>
  <c r="C53" i="2"/>
  <c r="D53" i="2" s="1"/>
  <c r="F53" i="2" s="1"/>
  <c r="K36" i="2"/>
  <c r="K35" i="2"/>
  <c r="N35" i="2"/>
  <c r="P5" i="2"/>
  <c r="O12" i="2"/>
  <c r="O17" i="2"/>
  <c r="W27" i="3"/>
  <c r="W31" i="3" s="1"/>
  <c r="W32" i="3"/>
  <c r="S27" i="3"/>
  <c r="S31" i="3" s="1"/>
  <c r="S32" i="3"/>
  <c r="U27" i="3"/>
  <c r="U31" i="3" s="1"/>
  <c r="N30" i="2"/>
  <c r="C38" i="2"/>
  <c r="D38" i="2" s="1"/>
  <c r="F38" i="2" s="1"/>
  <c r="C52" i="2"/>
  <c r="D52" i="2" s="1"/>
  <c r="F52" i="2" s="1"/>
  <c r="F21" i="2"/>
  <c r="D16" i="2"/>
  <c r="C22" i="2" s="1"/>
  <c r="E16" i="2"/>
  <c r="F16" i="2"/>
  <c r="C24" i="2" s="1"/>
  <c r="C16" i="2"/>
  <c r="C21" i="2" s="1"/>
  <c r="F17" i="2"/>
  <c r="F24" i="2" s="1"/>
  <c r="E17" i="2"/>
  <c r="F23" i="2" s="1"/>
  <c r="D17" i="2"/>
  <c r="F22" i="2" s="1"/>
  <c r="C17" i="2"/>
  <c r="F11" i="2"/>
  <c r="E11" i="2"/>
  <c r="D11" i="2"/>
  <c r="C11" i="2"/>
  <c r="F8" i="2"/>
  <c r="F14" i="2" s="1"/>
  <c r="E8" i="2"/>
  <c r="E14" i="2" s="1"/>
  <c r="D8" i="2"/>
  <c r="D14" i="2" s="1"/>
  <c r="C8" i="2"/>
  <c r="C14" i="2" s="1"/>
  <c r="E6" i="2"/>
  <c r="E5" i="2"/>
  <c r="E23" i="2" s="1"/>
  <c r="E4" i="2"/>
  <c r="E22" i="2" s="1"/>
  <c r="E3" i="2"/>
  <c r="D6" i="2"/>
  <c r="D24" i="2" s="1"/>
  <c r="D5" i="2"/>
  <c r="D23" i="2" s="1"/>
  <c r="D4" i="2"/>
  <c r="D22" i="2" s="1"/>
  <c r="D3" i="2"/>
  <c r="D21" i="2" s="1"/>
  <c r="C5" i="2"/>
  <c r="C23" i="2" s="1"/>
  <c r="O36" i="2" l="1"/>
  <c r="G23" i="2"/>
  <c r="E24" i="2"/>
  <c r="AU7" i="2" s="1"/>
  <c r="E21" i="2"/>
  <c r="G21" i="2" s="1"/>
  <c r="G22" i="2"/>
  <c r="D25" i="2"/>
  <c r="C25" i="2"/>
  <c r="F25" i="2"/>
  <c r="G24" i="2"/>
  <c r="AZ7" i="2"/>
  <c r="AK7" i="2"/>
  <c r="AN7" i="2"/>
  <c r="BB7" i="2"/>
  <c r="AY7" i="2"/>
  <c r="AM7" i="2"/>
  <c r="BE7" i="2"/>
  <c r="BC7" i="2"/>
  <c r="BG7" i="2"/>
  <c r="AX7" i="2"/>
  <c r="AS7" i="2"/>
  <c r="AL7" i="2"/>
  <c r="AW7" i="2"/>
  <c r="BF7" i="2"/>
  <c r="BA7" i="2"/>
  <c r="AT7" i="2"/>
  <c r="AQ7" i="2"/>
  <c r="AL9" i="2"/>
  <c r="AK8" i="2"/>
  <c r="AN8" i="2"/>
  <c r="AM8" i="2"/>
  <c r="AO8" i="2"/>
  <c r="AL8" i="2"/>
  <c r="AK9" i="2"/>
  <c r="AM9" i="2"/>
  <c r="P35" i="2"/>
  <c r="U4" i="2"/>
  <c r="T16" i="2"/>
  <c r="T11" i="2"/>
  <c r="AN5" i="2"/>
  <c r="AN9" i="2" s="1"/>
  <c r="N33" i="2"/>
  <c r="N42" i="2"/>
  <c r="N41" i="2"/>
  <c r="Q5" i="2"/>
  <c r="P12" i="2"/>
  <c r="P17" i="2"/>
  <c r="P42" i="2"/>
  <c r="AP5" i="2"/>
  <c r="AP9" i="2" s="1"/>
  <c r="P33" i="2"/>
  <c r="P37" i="2" s="1"/>
  <c r="P41" i="2"/>
  <c r="AR4" i="2"/>
  <c r="AR8" i="2" s="1"/>
  <c r="R32" i="2"/>
  <c r="R40" i="2"/>
  <c r="R6" i="2"/>
  <c r="Q18" i="2"/>
  <c r="Q23" i="2" s="1"/>
  <c r="Q30" i="2" s="1"/>
  <c r="Q13" i="2"/>
  <c r="AQ8" i="2"/>
  <c r="AO9" i="2"/>
  <c r="Q35" i="2"/>
  <c r="AP8" i="2"/>
  <c r="T3" i="2"/>
  <c r="S10" i="2"/>
  <c r="S15" i="2"/>
  <c r="S22" i="2" s="1"/>
  <c r="E25" i="2" l="1"/>
  <c r="AV7" i="2"/>
  <c r="AR7" i="2"/>
  <c r="AO7" i="2"/>
  <c r="BH7" i="2" s="1"/>
  <c r="AP7" i="2"/>
  <c r="BD7" i="2"/>
  <c r="V4" i="2"/>
  <c r="U11" i="2"/>
  <c r="U16" i="2"/>
  <c r="U3" i="2"/>
  <c r="T15" i="2"/>
  <c r="T22" i="2" s="1"/>
  <c r="T29" i="2" s="1"/>
  <c r="T10" i="2"/>
  <c r="S6" i="2"/>
  <c r="R18" i="2"/>
  <c r="R23" i="2" s="1"/>
  <c r="R30" i="2" s="1"/>
  <c r="R13" i="2"/>
  <c r="P36" i="2"/>
  <c r="Q42" i="2"/>
  <c r="AQ5" i="2"/>
  <c r="AQ9" i="2" s="1"/>
  <c r="Q33" i="2"/>
  <c r="Q41" i="2"/>
  <c r="R5" i="2"/>
  <c r="Q12" i="2"/>
  <c r="Q17" i="2"/>
  <c r="BI7" i="2"/>
  <c r="S29" i="2"/>
  <c r="R35" i="2"/>
  <c r="N37" i="2"/>
  <c r="N36" i="2"/>
  <c r="Q37" i="2" l="1"/>
  <c r="Q36" i="2"/>
  <c r="AR5" i="2"/>
  <c r="AR9" i="2" s="1"/>
  <c r="R33" i="2"/>
  <c r="R42" i="2"/>
  <c r="R41" i="2"/>
  <c r="V3" i="2"/>
  <c r="U15" i="2"/>
  <c r="U22" i="2" s="1"/>
  <c r="U10" i="2"/>
  <c r="T6" i="2"/>
  <c r="S13" i="2"/>
  <c r="S18" i="2"/>
  <c r="S23" i="2" s="1"/>
  <c r="S5" i="2"/>
  <c r="R17" i="2"/>
  <c r="R12" i="2"/>
  <c r="AS4" i="2"/>
  <c r="AS8" i="2" s="1"/>
  <c r="S32" i="2"/>
  <c r="S40" i="2"/>
  <c r="AT4" i="2"/>
  <c r="AT8" i="2" s="1"/>
  <c r="T32" i="2"/>
  <c r="T40" i="2"/>
  <c r="W4" i="2"/>
  <c r="V16" i="2"/>
  <c r="V11" i="2"/>
  <c r="X4" i="2" l="1"/>
  <c r="W11" i="2"/>
  <c r="W16" i="2"/>
  <c r="S30" i="2"/>
  <c r="S35" i="2"/>
  <c r="U6" i="2"/>
  <c r="T13" i="2"/>
  <c r="T18" i="2"/>
  <c r="T23" i="2" s="1"/>
  <c r="T30" i="2" s="1"/>
  <c r="U29" i="2"/>
  <c r="R37" i="2"/>
  <c r="R36" i="2"/>
  <c r="T35" i="2"/>
  <c r="T5" i="2"/>
  <c r="S17" i="2"/>
  <c r="S12" i="2"/>
  <c r="W3" i="2"/>
  <c r="V10" i="2"/>
  <c r="V15" i="2"/>
  <c r="V22" i="2" s="1"/>
  <c r="V29" i="2" s="1"/>
  <c r="AU4" i="2" l="1"/>
  <c r="AU8" i="2" s="1"/>
  <c r="U32" i="2"/>
  <c r="U40" i="2"/>
  <c r="T42" i="2"/>
  <c r="AT5" i="2"/>
  <c r="AT9" i="2" s="1"/>
  <c r="T33" i="2"/>
  <c r="T41" i="2"/>
  <c r="AV4" i="2"/>
  <c r="AV8" i="2" s="1"/>
  <c r="V32" i="2"/>
  <c r="V40" i="2"/>
  <c r="V6" i="2"/>
  <c r="U13" i="2"/>
  <c r="U18" i="2"/>
  <c r="U23" i="2" s="1"/>
  <c r="U30" i="2" s="1"/>
  <c r="S42" i="2"/>
  <c r="AS5" i="2"/>
  <c r="AS9" i="2" s="1"/>
  <c r="S33" i="2"/>
  <c r="S41" i="2"/>
  <c r="U5" i="2"/>
  <c r="T12" i="2"/>
  <c r="T17" i="2"/>
  <c r="X3" i="2"/>
  <c r="W15" i="2"/>
  <c r="W22" i="2" s="1"/>
  <c r="W29" i="2" s="1"/>
  <c r="W10" i="2"/>
  <c r="Y4" i="2"/>
  <c r="X11" i="2"/>
  <c r="X16" i="2"/>
  <c r="Y3" i="2" l="1"/>
  <c r="X15" i="2"/>
  <c r="X22" i="2" s="1"/>
  <c r="X29" i="2" s="1"/>
  <c r="X10" i="2"/>
  <c r="V35" i="2"/>
  <c r="U35" i="2"/>
  <c r="AW4" i="2"/>
  <c r="AW8" i="2" s="1"/>
  <c r="W32" i="2"/>
  <c r="W40" i="2"/>
  <c r="V5" i="2"/>
  <c r="U12" i="2"/>
  <c r="U17" i="2"/>
  <c r="U42" i="2"/>
  <c r="AU5" i="2"/>
  <c r="AU9" i="2" s="1"/>
  <c r="U33" i="2"/>
  <c r="U37" i="2" s="1"/>
  <c r="T37" i="2"/>
  <c r="T36" i="2"/>
  <c r="Z4" i="2"/>
  <c r="Y11" i="2"/>
  <c r="Y16" i="2"/>
  <c r="S37" i="2"/>
  <c r="S36" i="2"/>
  <c r="W6" i="2"/>
  <c r="V13" i="2"/>
  <c r="V18" i="2"/>
  <c r="V23" i="2" s="1"/>
  <c r="V30" i="2" s="1"/>
  <c r="U41" i="2"/>
  <c r="W5" i="2" l="1"/>
  <c r="V12" i="2"/>
  <c r="V17" i="2"/>
  <c r="U36" i="2"/>
  <c r="X6" i="2"/>
  <c r="W18" i="2"/>
  <c r="W23" i="2" s="1"/>
  <c r="W30" i="2" s="1"/>
  <c r="W13" i="2"/>
  <c r="W35" i="2"/>
  <c r="AV5" i="2"/>
  <c r="AV9" i="2" s="1"/>
  <c r="V42" i="2"/>
  <c r="V33" i="2"/>
  <c r="V41" i="2"/>
  <c r="AA4" i="2"/>
  <c r="Z11" i="2"/>
  <c r="Z16" i="2"/>
  <c r="AX4" i="2"/>
  <c r="AX8" i="2" s="1"/>
  <c r="X32" i="2"/>
  <c r="X40" i="2"/>
  <c r="Z3" i="2"/>
  <c r="Y10" i="2"/>
  <c r="Y15" i="2"/>
  <c r="Y22" i="2" s="1"/>
  <c r="Y29" i="2" s="1"/>
  <c r="V37" i="2" l="1"/>
  <c r="V36" i="2"/>
  <c r="Y6" i="2"/>
  <c r="X13" i="2"/>
  <c r="X18" i="2"/>
  <c r="X23" i="2" s="1"/>
  <c r="X30" i="2" s="1"/>
  <c r="X5" i="2"/>
  <c r="W17" i="2"/>
  <c r="W12" i="2"/>
  <c r="X35" i="2"/>
  <c r="AB4" i="2"/>
  <c r="AA11" i="2"/>
  <c r="AA16" i="2"/>
  <c r="AA3" i="2"/>
  <c r="Z15" i="2"/>
  <c r="Z22" i="2" s="1"/>
  <c r="Z29" i="2" s="1"/>
  <c r="Z10" i="2"/>
  <c r="W42" i="2"/>
  <c r="AW5" i="2"/>
  <c r="AW9" i="2" s="1"/>
  <c r="W33" i="2"/>
  <c r="W41" i="2"/>
  <c r="AY4" i="2"/>
  <c r="AY8" i="2" s="1"/>
  <c r="Y32" i="2"/>
  <c r="Y40" i="2"/>
  <c r="AZ4" i="2" l="1"/>
  <c r="AZ8" i="2" s="1"/>
  <c r="Z32" i="2"/>
  <c r="Z40" i="2"/>
  <c r="AB3" i="2"/>
  <c r="AA15" i="2"/>
  <c r="AA22" i="2" s="1"/>
  <c r="AA29" i="2" s="1"/>
  <c r="AA10" i="2"/>
  <c r="Y5" i="2"/>
  <c r="X12" i="2"/>
  <c r="X17" i="2"/>
  <c r="X42" i="2"/>
  <c r="AX5" i="2"/>
  <c r="AX9" i="2" s="1"/>
  <c r="X33" i="2"/>
  <c r="X41" i="2"/>
  <c r="Y35" i="2"/>
  <c r="W37" i="2"/>
  <c r="W36" i="2"/>
  <c r="AC4" i="2"/>
  <c r="AB16" i="2"/>
  <c r="AB11" i="2"/>
  <c r="Z6" i="2"/>
  <c r="Y13" i="2"/>
  <c r="Y18" i="2"/>
  <c r="Y23" i="2" s="1"/>
  <c r="Y30" i="2" s="1"/>
  <c r="BA4" i="2" l="1"/>
  <c r="BA8" i="2" s="1"/>
  <c r="AA32" i="2"/>
  <c r="AA40" i="2"/>
  <c r="Y42" i="2"/>
  <c r="Y33" i="2"/>
  <c r="AY5" i="2"/>
  <c r="AY9" i="2" s="1"/>
  <c r="Y41" i="2"/>
  <c r="Z5" i="2"/>
  <c r="Y12" i="2"/>
  <c r="Y17" i="2"/>
  <c r="AD4" i="2"/>
  <c r="AC11" i="2"/>
  <c r="AC16" i="2"/>
  <c r="Z35" i="2"/>
  <c r="AA6" i="2"/>
  <c r="Z18" i="2"/>
  <c r="Z23" i="2" s="1"/>
  <c r="Z30" i="2" s="1"/>
  <c r="Z13" i="2"/>
  <c r="X37" i="2"/>
  <c r="X36" i="2"/>
  <c r="AC3" i="2"/>
  <c r="AB10" i="2"/>
  <c r="AB15" i="2"/>
  <c r="AB22" i="2" s="1"/>
  <c r="AB29" i="2" s="1"/>
  <c r="AA35" i="2" l="1"/>
  <c r="AD3" i="2"/>
  <c r="AC15" i="2"/>
  <c r="AC22" i="2" s="1"/>
  <c r="AC29" i="2" s="1"/>
  <c r="AC10" i="2"/>
  <c r="Y37" i="2"/>
  <c r="Y36" i="2"/>
  <c r="BB4" i="2"/>
  <c r="BB8" i="2" s="1"/>
  <c r="AB32" i="2"/>
  <c r="AB40" i="2"/>
  <c r="AE4" i="2"/>
  <c r="AD11" i="2"/>
  <c r="AD16" i="2"/>
  <c r="AZ5" i="2"/>
  <c r="AZ9" i="2" s="1"/>
  <c r="Z42" i="2"/>
  <c r="Z33" i="2"/>
  <c r="Z41" i="2"/>
  <c r="AB6" i="2"/>
  <c r="AA13" i="2"/>
  <c r="AA18" i="2"/>
  <c r="AA23" i="2" s="1"/>
  <c r="AA30" i="2" s="1"/>
  <c r="AA5" i="2"/>
  <c r="Z12" i="2"/>
  <c r="Z17" i="2"/>
  <c r="AC6" i="2" l="1"/>
  <c r="AB13" i="2"/>
  <c r="AB18" i="2"/>
  <c r="AB23" i="2" s="1"/>
  <c r="AB30" i="2" s="1"/>
  <c r="AB5" i="2"/>
  <c r="AA12" i="2"/>
  <c r="AA17" i="2"/>
  <c r="AF4" i="2"/>
  <c r="AE11" i="2"/>
  <c r="AE16" i="2"/>
  <c r="BC4" i="2"/>
  <c r="BC8" i="2" s="1"/>
  <c r="AC32" i="2"/>
  <c r="AC40" i="2"/>
  <c r="AE3" i="2"/>
  <c r="AD15" i="2"/>
  <c r="AD22" i="2" s="1"/>
  <c r="AD29" i="2" s="1"/>
  <c r="AD10" i="2"/>
  <c r="AB35" i="2"/>
  <c r="AA42" i="2"/>
  <c r="BA5" i="2"/>
  <c r="BA9" i="2" s="1"/>
  <c r="AA33" i="2"/>
  <c r="AA41" i="2"/>
  <c r="Z37" i="2"/>
  <c r="Z36" i="2"/>
  <c r="AB42" i="2" l="1"/>
  <c r="BB5" i="2"/>
  <c r="BB9" i="2" s="1"/>
  <c r="AB33" i="2"/>
  <c r="AB41" i="2"/>
  <c r="AF3" i="2"/>
  <c r="AE10" i="2"/>
  <c r="AE15" i="2"/>
  <c r="AE22" i="2" s="1"/>
  <c r="AE29" i="2" s="1"/>
  <c r="AC35" i="2"/>
  <c r="AC5" i="2"/>
  <c r="AB12" i="2"/>
  <c r="AB17" i="2"/>
  <c r="BD4" i="2"/>
  <c r="BD8" i="2" s="1"/>
  <c r="AD32" i="2"/>
  <c r="AD40" i="2"/>
  <c r="AG4" i="2"/>
  <c r="AF11" i="2"/>
  <c r="AF16" i="2"/>
  <c r="AA37" i="2"/>
  <c r="AA36" i="2"/>
  <c r="AD6" i="2"/>
  <c r="AC13" i="2"/>
  <c r="AC18" i="2"/>
  <c r="AC23" i="2" s="1"/>
  <c r="AC30" i="2" s="1"/>
  <c r="AC42" i="2" l="1"/>
  <c r="BC5" i="2"/>
  <c r="BC9" i="2" s="1"/>
  <c r="AC33" i="2"/>
  <c r="AC41" i="2"/>
  <c r="AD35" i="2"/>
  <c r="AE32" i="2"/>
  <c r="BE4" i="2"/>
  <c r="BE8" i="2" s="1"/>
  <c r="AE40" i="2"/>
  <c r="AB37" i="2"/>
  <c r="AB36" i="2"/>
  <c r="AE6" i="2"/>
  <c r="AD18" i="2"/>
  <c r="AD23" i="2" s="1"/>
  <c r="AD30" i="2" s="1"/>
  <c r="AD13" i="2"/>
  <c r="AD5" i="2"/>
  <c r="AC12" i="2"/>
  <c r="AC17" i="2"/>
  <c r="AG16" i="2"/>
  <c r="AG11" i="2"/>
  <c r="AG3" i="2"/>
  <c r="AF10" i="2"/>
  <c r="AF15" i="2"/>
  <c r="AF22" i="2" s="1"/>
  <c r="AF29" i="2" s="1"/>
  <c r="AE5" i="2" l="1"/>
  <c r="AD12" i="2"/>
  <c r="AD17" i="2"/>
  <c r="AE35" i="2"/>
  <c r="BF4" i="2"/>
  <c r="BF8" i="2" s="1"/>
  <c r="AF32" i="2"/>
  <c r="AF40" i="2"/>
  <c r="AC37" i="2"/>
  <c r="AC36" i="2"/>
  <c r="BD5" i="2"/>
  <c r="BD9" i="2" s="1"/>
  <c r="AD33" i="2"/>
  <c r="AD42" i="2"/>
  <c r="AD41" i="2"/>
  <c r="AG10" i="2"/>
  <c r="AG15" i="2"/>
  <c r="AG22" i="2" s="1"/>
  <c r="AF6" i="2"/>
  <c r="AE13" i="2"/>
  <c r="AE18" i="2"/>
  <c r="AE23" i="2" s="1"/>
  <c r="AE30" i="2" s="1"/>
  <c r="AE42" i="2" l="1"/>
  <c r="BE5" i="2"/>
  <c r="BE9" i="2" s="1"/>
  <c r="AE33" i="2"/>
  <c r="AE41" i="2"/>
  <c r="AF35" i="2"/>
  <c r="AG6" i="2"/>
  <c r="AF13" i="2"/>
  <c r="AF18" i="2"/>
  <c r="AF23" i="2" s="1"/>
  <c r="AF30" i="2" s="1"/>
  <c r="AG29" i="2"/>
  <c r="AH22" i="2"/>
  <c r="AI22" i="2" s="1"/>
  <c r="AD37" i="2"/>
  <c r="AD36" i="2"/>
  <c r="AF5" i="2"/>
  <c r="AE12" i="2"/>
  <c r="AE17" i="2"/>
  <c r="AG18" i="2" l="1"/>
  <c r="AG23" i="2" s="1"/>
  <c r="AG13" i="2"/>
  <c r="AG5" i="2"/>
  <c r="AF12" i="2"/>
  <c r="AF17" i="2"/>
  <c r="BG4" i="2"/>
  <c r="BG8" i="2" s="1"/>
  <c r="AG32" i="2"/>
  <c r="AG40" i="2"/>
  <c r="AF42" i="2"/>
  <c r="BF5" i="2"/>
  <c r="BF9" i="2" s="1"/>
  <c r="AF33" i="2"/>
  <c r="AF41" i="2"/>
  <c r="AE37" i="2"/>
  <c r="AE36" i="2"/>
  <c r="AF37" i="2" l="1"/>
  <c r="AF36" i="2"/>
  <c r="AG35" i="2"/>
  <c r="BH8" i="2"/>
  <c r="BK8" i="2" s="1"/>
  <c r="BI8" i="2"/>
  <c r="BJ8" i="2" s="1"/>
  <c r="AG12" i="2"/>
  <c r="AG17" i="2"/>
  <c r="AG30" i="2"/>
  <c r="AH23" i="2"/>
  <c r="AI23" i="2" s="1"/>
  <c r="AG42" i="2" l="1"/>
  <c r="BG5" i="2"/>
  <c r="BG9" i="2" s="1"/>
  <c r="AG33" i="2"/>
  <c r="AG41" i="2"/>
  <c r="BH9" i="2" l="1"/>
  <c r="BK9" i="2" s="1"/>
  <c r="BI9" i="2"/>
  <c r="BJ9" i="2" s="1"/>
  <c r="AG37" i="2"/>
  <c r="AG36" i="2"/>
</calcChain>
</file>

<file path=xl/sharedStrings.xml><?xml version="1.0" encoding="utf-8"?>
<sst xmlns="http://schemas.openxmlformats.org/spreadsheetml/2006/main" count="139" uniqueCount="68">
  <si>
    <t>Coal</t>
  </si>
  <si>
    <t>Natural Gas</t>
  </si>
  <si>
    <t>Oil</t>
  </si>
  <si>
    <t>Electricity</t>
  </si>
  <si>
    <t>mmBtu</t>
  </si>
  <si>
    <t>MWh</t>
  </si>
  <si>
    <t>Residential</t>
  </si>
  <si>
    <t>Commercial</t>
  </si>
  <si>
    <t>Industrial</t>
  </si>
  <si>
    <t>Transport</t>
  </si>
  <si>
    <t>https://www.eia.gov/state/seds/data.php?incfile=/state/seds/sep_use/res/use_res_CO.html&amp;sid=CO</t>
  </si>
  <si>
    <t>https://www.eia.gov/state/seds/data.php?incfile=/state/seds/sep_use/com/use_com_CO.html&amp;sid=CO</t>
  </si>
  <si>
    <t>https://www.eia.gov/state/seds/data.php?incfile=/state/seds/sep_use/ind/use_ind_CO.html&amp;sid=CO</t>
  </si>
  <si>
    <t>https://www.eia.gov/state/seds/data.php?incfile=/state/seds/sep_use/tra/use_tra_CO.html&amp;sid=CO</t>
  </si>
  <si>
    <t>https://www.eia.gov/dnav/pet/hist/LeafHandler.ashx?n=PET&amp;s=F004008__3&amp;f=A</t>
  </si>
  <si>
    <t>https://www.eia.gov/dnav/ng/ng_pri_sum_dcu_SCO_a.htm</t>
  </si>
  <si>
    <t>R</t>
  </si>
  <si>
    <t>C</t>
  </si>
  <si>
    <t>I</t>
  </si>
  <si>
    <t>T</t>
  </si>
  <si>
    <t>short ton</t>
  </si>
  <si>
    <t>https://www.eia.gov/state/seds/data.php?incfile=/state/seds/sep_fuel/html/fuel_pr_es.html&amp;sid=US</t>
  </si>
  <si>
    <t>https://www.eia.gov/coal/annual/xls/table28.xls</t>
  </si>
  <si>
    <t>barrel</t>
  </si>
  <si>
    <t>$/MWh</t>
  </si>
  <si>
    <t>1 barrel equals 5.8 mmBtu</t>
  </si>
  <si>
    <t>1 short ton of coal equals 19.46 mmBtu</t>
  </si>
  <si>
    <t>2016 Spending</t>
  </si>
  <si>
    <t>Cleaner Grid</t>
  </si>
  <si>
    <t>Transportation - BAU</t>
  </si>
  <si>
    <t>Electric Power - BAU</t>
  </si>
  <si>
    <t>Cleaner Grid Total</t>
  </si>
  <si>
    <t>BAU Grid</t>
  </si>
  <si>
    <t>BAU Total</t>
  </si>
  <si>
    <t>EV Grid</t>
  </si>
  <si>
    <t>Cleaner + EV Grid Total</t>
  </si>
  <si>
    <t>mmT</t>
  </si>
  <si>
    <t>Transportation - EVs</t>
  </si>
  <si>
    <t>Electric Power - Cleaner</t>
  </si>
  <si>
    <t>BAU</t>
  </si>
  <si>
    <t>Cleaner Grid Only</t>
  </si>
  <si>
    <t>Cleaner Grid with EVs</t>
  </si>
  <si>
    <t>Gasoline Estimates</t>
  </si>
  <si>
    <t>https://www.eia.gov/outlooks/aeo/data/browser/#/?id=12-AEO2019&amp;region=0-0&amp;cases=highrt&amp;start=2017&amp;end=2050&amp;f=A&amp;linechart=~~highrt-d111618a.43-12-AEO2019&amp;ctype=linechart&amp;sourcekey=0</t>
  </si>
  <si>
    <t>https://www.eia.gov/dnav/pet/pet_pri_gnd_dcus_sco_a.htm</t>
  </si>
  <si>
    <t>National (adjusted)</t>
  </si>
  <si>
    <t>Colorado (adjusted)</t>
  </si>
  <si>
    <t>National Actual 2018</t>
  </si>
  <si>
    <t>Colorado Actual 2018</t>
  </si>
  <si>
    <t>Change in efficiency</t>
  </si>
  <si>
    <t>https://www.eia.gov/outlooks/aeo/data/browser/#/?id=7-AEO2019&amp;region=0-0&amp;cases=ref2019&amp;start=2017&amp;end=2050&amp;f=A&amp;linechart=ref2019-d111618a.21-7-AEO2019~ref2019-d111618a.25-7-AEO2019~ref2019-d111618a.28-7-AEO2019~ref2019-d111618a.31-7-AEO2019~ref2019-d111618a.34-7-AEO2019~ref2019-d111618a.35-7-AEO2019~ref2019-d111618a.36-7-AEO2019~ref2019-d111618a.37-7-AEO2019&amp;ctype=linechart&amp;sourcekey=0</t>
  </si>
  <si>
    <t>&lt;-- Change in fuel costs per mile</t>
  </si>
  <si>
    <t>Gasoline Costs for 10,000 miles per year</t>
  </si>
  <si>
    <t>miles per kWh</t>
  </si>
  <si>
    <t>Cost per 10,000 miles</t>
  </si>
  <si>
    <t>EV Grid (If charged separately)</t>
  </si>
  <si>
    <t>EV @ Res Rates</t>
  </si>
  <si>
    <t>EV @ Transport Rates</t>
  </si>
  <si>
    <t>Cost per mile gasoline</t>
  </si>
  <si>
    <t>Cost per mile (avg)</t>
  </si>
  <si>
    <t>Cost per mile (avg - tran rate)</t>
  </si>
  <si>
    <t>Total Savings</t>
  </si>
  <si>
    <t>Average Savings (per year)</t>
  </si>
  <si>
    <t>Saving</t>
  </si>
  <si>
    <t>EV penetration</t>
  </si>
  <si>
    <t>ICE penetration</t>
  </si>
  <si>
    <t>EV high rate</t>
  </si>
  <si>
    <t>EV low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</si>
</sst>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#,##0.000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44" fontId="0" fillId="0" borderId="0" xfId="2" applyFont="1"/>
    <xf numFmtId="4" fontId="2" fillId="0" borderId="0" xfId="0" applyNumberFormat="1" applyFont="1" applyAlignment="1">
      <alignment horizontal="center"/>
    </xf>
    <xf numFmtId="44" fontId="2" fillId="0" borderId="0" xfId="2" applyFont="1"/>
    <xf numFmtId="44" fontId="2" fillId="0" borderId="0" xfId="2" applyFont="1" applyAlignment="1">
      <alignment horizontal="center"/>
    </xf>
    <xf numFmtId="164" fontId="2" fillId="0" borderId="0" xfId="2" applyNumberFormat="1" applyFont="1"/>
    <xf numFmtId="44" fontId="2" fillId="0" borderId="0" xfId="0" applyNumberFormat="1" applyFont="1"/>
    <xf numFmtId="9" fontId="2" fillId="0" borderId="0" xfId="1" applyFont="1"/>
    <xf numFmtId="0" fontId="2" fillId="0" borderId="0" xfId="0" applyNumberFormat="1" applyFont="1"/>
    <xf numFmtId="0" fontId="2" fillId="0" borderId="0" xfId="1" applyNumberFormat="1" applyFont="1"/>
    <xf numFmtId="44" fontId="0" fillId="0" borderId="0" xfId="0" applyNumberFormat="1"/>
    <xf numFmtId="2" fontId="0" fillId="0" borderId="0" xfId="0" applyNumberFormat="1"/>
    <xf numFmtId="9" fontId="0" fillId="0" borderId="0" xfId="1" applyFont="1"/>
    <xf numFmtId="164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166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67" fontId="0" fillId="0" borderId="0" xfId="1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Change in Transportation Spending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Costs!$J$37</c:f>
              <c:strCache>
                <c:ptCount val="1"/>
                <c:pt idx="0">
                  <c:v>EV @ Transport Rates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Costs!$K$37:$AG$37</c:f>
              <c:numCache>
                <c:formatCode>0%</c:formatCode>
                <c:ptCount val="23"/>
                <c:pt idx="0">
                  <c:v>0.99901303494323057</c:v>
                </c:pt>
                <c:pt idx="1">
                  <c:v>0.9850098500282024</c:v>
                </c:pt>
                <c:pt idx="2">
                  <c:v>0.96886821232128972</c:v>
                </c:pt>
                <c:pt idx="3">
                  <c:v>0.95241874257532844</c:v>
                </c:pt>
                <c:pt idx="4">
                  <c:v>0.93434188281449537</c:v>
                </c:pt>
                <c:pt idx="5">
                  <c:v>0.91459210302151583</c:v>
                </c:pt>
                <c:pt idx="6">
                  <c:v>0.89284878635055442</c:v>
                </c:pt>
                <c:pt idx="7">
                  <c:v>0.86964845279199876</c:v>
                </c:pt>
                <c:pt idx="8">
                  <c:v>0.84339338468918679</c:v>
                </c:pt>
                <c:pt idx="9">
                  <c:v>0.81498501278589119</c:v>
                </c:pt>
                <c:pt idx="10">
                  <c:v>0.78420858741591992</c:v>
                </c:pt>
                <c:pt idx="11">
                  <c:v>0.75134691219757777</c:v>
                </c:pt>
                <c:pt idx="12">
                  <c:v>0.71637370119949473</c:v>
                </c:pt>
                <c:pt idx="13">
                  <c:v>0.67862780010249757</c:v>
                </c:pt>
                <c:pt idx="14">
                  <c:v>0.63913502278872825</c:v>
                </c:pt>
                <c:pt idx="15">
                  <c:v>0.59825898902723262</c:v>
                </c:pt>
                <c:pt idx="16">
                  <c:v>0.5563512742152722</c:v>
                </c:pt>
                <c:pt idx="17">
                  <c:v>0.51408710970763183</c:v>
                </c:pt>
                <c:pt idx="18">
                  <c:v>0.47293060488174471</c:v>
                </c:pt>
                <c:pt idx="19">
                  <c:v>0.43284287624595336</c:v>
                </c:pt>
                <c:pt idx="20">
                  <c:v>0.39467380922887496</c:v>
                </c:pt>
                <c:pt idx="21">
                  <c:v>0.35903509470403122</c:v>
                </c:pt>
                <c:pt idx="22">
                  <c:v>0.32656473599681141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F-C342-A9BB-C087A42A11B1}"/>
            </c:ext>
          </c:extLst>
        </c:ser>
        <c:ser>
          <c:idx val="1"/>
          <c:order val="1"/>
          <c:tx>
            <c:strRef>
              <c:f>Costs!$J$36</c:f>
              <c:strCache>
                <c:ptCount val="1"/>
                <c:pt idx="0">
                  <c:v>EV @ Res Rates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Costs!$K$36:$AG$36</c:f>
              <c:numCache>
                <c:formatCode>0%</c:formatCode>
                <c:ptCount val="23"/>
                <c:pt idx="0">
                  <c:v>5.8121797215704429E-4</c:v>
                </c:pt>
                <c:pt idx="1">
                  <c:v>1.6324080578956623E-3</c:v>
                </c:pt>
                <c:pt idx="2">
                  <c:v>2.6543064013959672E-3</c:v>
                </c:pt>
                <c:pt idx="3">
                  <c:v>4.1366996344419649E-3</c:v>
                </c:pt>
                <c:pt idx="4">
                  <c:v>5.7948349419409961E-3</c:v>
                </c:pt>
                <c:pt idx="5">
                  <c:v>7.65480308598121E-3</c:v>
                </c:pt>
                <c:pt idx="6">
                  <c:v>9.6713262975243186E-3</c:v>
                </c:pt>
                <c:pt idx="7">
                  <c:v>1.2003778814903221E-2</c:v>
                </c:pt>
                <c:pt idx="8">
                  <c:v>1.4278908343224095E-2</c:v>
                </c:pt>
                <c:pt idx="9">
                  <c:v>1.6726039452046204E-2</c:v>
                </c:pt>
                <c:pt idx="10">
                  <c:v>1.9285766081700073E-2</c:v>
                </c:pt>
                <c:pt idx="11">
                  <c:v>2.2002812581850106E-2</c:v>
                </c:pt>
                <c:pt idx="12">
                  <c:v>2.4824290242936642E-2</c:v>
                </c:pt>
                <c:pt idx="13">
                  <c:v>2.7516257555994517E-2</c:v>
                </c:pt>
                <c:pt idx="14">
                  <c:v>3.023118284495363E-2</c:v>
                </c:pt>
                <c:pt idx="15">
                  <c:v>3.2929105908243494E-2</c:v>
                </c:pt>
                <c:pt idx="16">
                  <c:v>3.5537153654510711E-2</c:v>
                </c:pt>
                <c:pt idx="17">
                  <c:v>3.8034073124239676E-2</c:v>
                </c:pt>
                <c:pt idx="18">
                  <c:v>4.0569434278175442E-2</c:v>
                </c:pt>
                <c:pt idx="19">
                  <c:v>4.2908902903461332E-2</c:v>
                </c:pt>
                <c:pt idx="20">
                  <c:v>4.5033393272613298E-2</c:v>
                </c:pt>
                <c:pt idx="21">
                  <c:v>4.6876959706090793E-2</c:v>
                </c:pt>
                <c:pt idx="22">
                  <c:v>4.8408485162646397E-2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F-C342-A9BB-C087A42A11B1}"/>
            </c:ext>
          </c:extLst>
        </c:ser>
        <c:ser>
          <c:idx val="0"/>
          <c:order val="2"/>
          <c:tx>
            <c:strRef>
              <c:f>Costs!$J$35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Costs!$K$35:$AG$35</c:f>
              <c:numCache>
                <c:formatCode>0%</c:formatCode>
                <c:ptCount val="23"/>
                <c:pt idx="0">
                  <c:v>4.0574708461238451E-4</c:v>
                </c:pt>
                <c:pt idx="1">
                  <c:v>1.3357741913901933E-2</c:v>
                </c:pt>
                <c:pt idx="2">
                  <c:v>2.8477481277314309E-2</c:v>
                </c:pt>
                <c:pt idx="3">
                  <c:v>4.3444557790229599E-2</c:v>
                </c:pt>
                <c:pt idx="4">
                  <c:v>5.9863282243563631E-2</c:v>
                </c:pt>
                <c:pt idx="5">
                  <c:v>7.7753093892502956E-2</c:v>
                </c:pt>
                <c:pt idx="6">
                  <c:v>9.7479887351921257E-2</c:v>
                </c:pt>
                <c:pt idx="7">
                  <c:v>0.11834776839309802</c:v>
                </c:pt>
                <c:pt idx="8">
                  <c:v>0.14232770696758912</c:v>
                </c:pt>
                <c:pt idx="9">
                  <c:v>0.1682889477620626</c:v>
                </c:pt>
                <c:pt idx="10">
                  <c:v>0.19650564650238</c:v>
                </c:pt>
                <c:pt idx="11">
                  <c:v>0.22665027522057213</c:v>
                </c:pt>
                <c:pt idx="12">
                  <c:v>0.25880200855756863</c:v>
                </c:pt>
                <c:pt idx="13">
                  <c:v>0.29385594234150791</c:v>
                </c:pt>
                <c:pt idx="14">
                  <c:v>0.33063379436631812</c:v>
                </c:pt>
                <c:pt idx="15">
                  <c:v>0.36881190506452388</c:v>
                </c:pt>
                <c:pt idx="16">
                  <c:v>0.40811157213021709</c:v>
                </c:pt>
                <c:pt idx="17">
                  <c:v>0.4478788171681285</c:v>
                </c:pt>
                <c:pt idx="18">
                  <c:v>0.48649996084007985</c:v>
                </c:pt>
                <c:pt idx="19">
                  <c:v>0.52424822085058531</c:v>
                </c:pt>
                <c:pt idx="20">
                  <c:v>0.56029279749851169</c:v>
                </c:pt>
                <c:pt idx="21">
                  <c:v>0.59408794558987799</c:v>
                </c:pt>
                <c:pt idx="22">
                  <c:v>0.62502677884054214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F-C342-A9BB-C087A42A1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651071"/>
        <c:axId val="2077652751"/>
      </c:areaChart>
      <c:catAx>
        <c:axId val="2077651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077652751"/>
        <c:crosses val="autoZero"/>
        <c:auto val="1"/>
        <c:lblAlgn val="ctr"/>
        <c:lblOffset val="100"/>
        <c:noMultiLvlLbl val="0"/>
      </c:catAx>
      <c:valAx>
        <c:axId val="2077652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cross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077651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Average Annual Transportation Spending Per Vehicle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Costs!$J$37</c:f>
              <c:strCache>
                <c:ptCount val="1"/>
                <c:pt idx="0">
                  <c:v>EV @ Transport Rates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Costs!$K$42:$AG$42</c:f>
              <c:numCache>
                <c:formatCode>_("$"* #,##0.00_);_("$"* \(#,##0.00\);_("$"* "-"??_);_(@_)</c:formatCode>
                <c:ptCount val="23"/>
                <c:pt idx="0">
                  <c:v>964.95178208224888</c:v>
                </c:pt>
                <c:pt idx="1">
                  <c:v>946.27264373195317</c:v>
                </c:pt>
                <c:pt idx="2">
                  <c:v>915.20456108370024</c:v>
                </c:pt>
                <c:pt idx="3">
                  <c:v>871.79065425495514</c:v>
                </c:pt>
                <c:pt idx="4">
                  <c:v>831.69720265502815</c:v>
                </c:pt>
                <c:pt idx="5">
                  <c:v>791.69550910842361</c:v>
                </c:pt>
                <c:pt idx="6">
                  <c:v>756.37216533640685</c:v>
                </c:pt>
                <c:pt idx="7">
                  <c:v>714.31495034952115</c:v>
                </c:pt>
                <c:pt idx="8">
                  <c:v>696.34761195905639</c:v>
                </c:pt>
                <c:pt idx="9">
                  <c:v>675.73122270236672</c:v>
                </c:pt>
                <c:pt idx="10">
                  <c:v>654.4154298055131</c:v>
                </c:pt>
                <c:pt idx="11">
                  <c:v>630.38033658836514</c:v>
                </c:pt>
                <c:pt idx="12">
                  <c:v>604.77140132598061</c:v>
                </c:pt>
                <c:pt idx="13">
                  <c:v>574.25147541310218</c:v>
                </c:pt>
                <c:pt idx="14">
                  <c:v>542.16634676443778</c:v>
                </c:pt>
                <c:pt idx="15">
                  <c:v>508.87316968780317</c:v>
                </c:pt>
                <c:pt idx="16">
                  <c:v>475.05240742781399</c:v>
                </c:pt>
                <c:pt idx="17">
                  <c:v>440.79550517748339</c:v>
                </c:pt>
                <c:pt idx="18">
                  <c:v>405.33916865760096</c:v>
                </c:pt>
                <c:pt idx="19">
                  <c:v>371.0317962783248</c:v>
                </c:pt>
                <c:pt idx="20">
                  <c:v>338.3117312978743</c:v>
                </c:pt>
                <c:pt idx="21">
                  <c:v>307.88387758008992</c:v>
                </c:pt>
                <c:pt idx="22">
                  <c:v>280.240779235638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0-4344-B07E-72CF1F55E8FA}"/>
            </c:ext>
          </c:extLst>
        </c:ser>
        <c:ser>
          <c:idx val="1"/>
          <c:order val="1"/>
          <c:tx>
            <c:strRef>
              <c:f>Costs!$J$36</c:f>
              <c:strCache>
                <c:ptCount val="1"/>
                <c:pt idx="0">
                  <c:v>EV @ Res Rates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Costs!$K$41:$AG$41</c:f>
              <c:numCache>
                <c:formatCode>_("$"* #,##0.00_);_("$"* \(#,##0.00\);_("$"* "-"??_);_(@_)</c:formatCode>
                <c:ptCount val="23"/>
                <c:pt idx="0">
                  <c:v>0.56140140157731366</c:v>
                </c:pt>
                <c:pt idx="1">
                  <c:v>1.5682108037295848</c:v>
                </c:pt>
                <c:pt idx="2">
                  <c:v>2.5072897368065696</c:v>
                </c:pt>
                <c:pt idx="3">
                  <c:v>3.7865026375005755</c:v>
                </c:pt>
                <c:pt idx="4">
                  <c:v>5.1582275178997179</c:v>
                </c:pt>
                <c:pt idx="5">
                  <c:v>6.6262033164942977</c:v>
                </c:pt>
                <c:pt idx="6">
                  <c:v>8.1930133356996748</c:v>
                </c:pt>
                <c:pt idx="7">
                  <c:v>9.8597066902676715</c:v>
                </c:pt>
                <c:pt idx="8">
                  <c:v>11.789378369206247</c:v>
                </c:pt>
                <c:pt idx="9">
                  <c:v>13.868116483840708</c:v>
                </c:pt>
                <c:pt idx="10">
                  <c:v>16.093808588697129</c:v>
                </c:pt>
                <c:pt idx="11">
                  <c:v>18.460367875432325</c:v>
                </c:pt>
                <c:pt idx="12">
                  <c:v>20.956968090824489</c:v>
                </c:pt>
                <c:pt idx="13">
                  <c:v>23.284120539992955</c:v>
                </c:pt>
                <c:pt idx="14">
                  <c:v>25.644549863502334</c:v>
                </c:pt>
                <c:pt idx="15">
                  <c:v>28.009171288440825</c:v>
                </c:pt>
                <c:pt idx="16">
                  <c:v>30.34415697262375</c:v>
                </c:pt>
                <c:pt idx="17">
                  <c:v>32.611688097550655</c:v>
                </c:pt>
                <c:pt idx="18">
                  <c:v>34.771234074260576</c:v>
                </c:pt>
                <c:pt idx="19">
                  <c:v>36.781400813807011</c:v>
                </c:pt>
                <c:pt idx="20">
                  <c:v>38.602321431064979</c:v>
                </c:pt>
                <c:pt idx="21">
                  <c:v>40.198466212263611</c:v>
                </c:pt>
                <c:pt idx="22">
                  <c:v>41.54163051986518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0-4344-B07E-72CF1F55E8FA}"/>
            </c:ext>
          </c:extLst>
        </c:ser>
        <c:ser>
          <c:idx val="0"/>
          <c:order val="2"/>
          <c:tx>
            <c:strRef>
              <c:f>Costs!$J$35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Costs!$K$34:$AG$34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Costs!$K$40:$AG$40</c:f>
              <c:numCache>
                <c:formatCode>_("$"* #,##0.00_);_("$"* \(#,##0.00\);_("$"* "-"??_);_(@_)</c:formatCode>
                <c:ptCount val="23"/>
                <c:pt idx="0">
                  <c:v>0.39191317698237071</c:v>
                </c:pt>
                <c:pt idx="1">
                  <c:v>12.832425741524503</c:v>
                </c:pt>
                <c:pt idx="2">
                  <c:v>26.900171170577096</c:v>
                </c:pt>
                <c:pt idx="3">
                  <c:v>39.76670950148366</c:v>
                </c:pt>
                <c:pt idx="4">
                  <c:v>53.286837826154965</c:v>
                </c:pt>
                <c:pt idx="5">
                  <c:v>67.305168118789311</c:v>
                </c:pt>
                <c:pt idx="6">
                  <c:v>82.579575175872037</c:v>
                </c:pt>
                <c:pt idx="7">
                  <c:v>97.208912443051304</c:v>
                </c:pt>
                <c:pt idx="8">
                  <c:v>117.51284828848111</c:v>
                </c:pt>
                <c:pt idx="9">
                  <c:v>139.53397259395831</c:v>
                </c:pt>
                <c:pt idx="10">
                  <c:v>163.98229907021118</c:v>
                </c:pt>
                <c:pt idx="11">
                  <c:v>190.15966454630018</c:v>
                </c:pt>
                <c:pt idx="12">
                  <c:v>218.48380687240342</c:v>
                </c:pt>
                <c:pt idx="13">
                  <c:v>248.65943956765614</c:v>
                </c:pt>
                <c:pt idx="14">
                  <c:v>280.47049530519394</c:v>
                </c:pt>
                <c:pt idx="15">
                  <c:v>313.70775298160765</c:v>
                </c:pt>
                <c:pt idx="16">
                  <c:v>348.47477452634115</c:v>
                </c:pt>
                <c:pt idx="17">
                  <c:v>384.02629776925551</c:v>
                </c:pt>
                <c:pt idx="18">
                  <c:v>416.96918669110494</c:v>
                </c:pt>
                <c:pt idx="19">
                  <c:v>449.38422174096507</c:v>
                </c:pt>
                <c:pt idx="20">
                  <c:v>480.27921266375927</c:v>
                </c:pt>
                <c:pt idx="21">
                  <c:v>509.4490845319234</c:v>
                </c:pt>
                <c:pt idx="22">
                  <c:v>536.36529679409284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0-4344-B07E-72CF1F55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651071"/>
        <c:axId val="2077652751"/>
      </c:areaChart>
      <c:catAx>
        <c:axId val="2077651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077652751"/>
        <c:crosses val="autoZero"/>
        <c:auto val="1"/>
        <c:lblAlgn val="ctr"/>
        <c:lblOffset val="100"/>
        <c:noMultiLvlLbl val="0"/>
      </c:catAx>
      <c:valAx>
        <c:axId val="207765275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Average Anuual Transportation Spending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cross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077651071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Average Annual Cost of Energy For Vehicles in Colorado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6-224F-B2FB-9711A27968E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E6-224F-B2FB-9711A27968E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6-224F-B2FB-9711A27968EA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Gasoline Vehicle Fuel</c:v>
              </c:pt>
              <c:pt idx="1">
                <c:v> EV at Residential Rates</c:v>
              </c:pt>
              <c:pt idx="2">
                <c:v> EV at Transport Rates</c:v>
              </c:pt>
            </c:strLit>
          </c:cat>
          <c:val>
            <c:numRef>
              <c:f>Costs!$AH$21:$AH$23</c:f>
              <c:numCache>
                <c:formatCode>_("$"* #,##0.00_);_("$"* \(#,##0.00\);_("$"* "-"??_);_(@_)</c:formatCode>
                <c:ptCount val="3"/>
                <c:pt idx="0">
                  <c:v>866.38433609837955</c:v>
                </c:pt>
                <c:pt idx="1">
                  <c:v>275.52632454957336</c:v>
                </c:pt>
                <c:pt idx="2">
                  <c:v>221.19392450515537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224F-B2FB-9711A279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355911840"/>
        <c:axId val="385593152"/>
      </c:barChart>
      <c:catAx>
        <c:axId val="355911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85593152"/>
        <c:crosses val="autoZero"/>
        <c:auto val="1"/>
        <c:lblAlgn val="ctr"/>
        <c:lblOffset val="100"/>
        <c:noMultiLvlLbl val="0"/>
      </c:catAx>
      <c:valAx>
        <c:axId val="385593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Annual Cost of Fuel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cross"/>
        <c:minorTickMark val="in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55911840"/>
        <c:crosses val="autoZero"/>
        <c:crossBetween val="between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Total Spending on Transportation in Colorado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Costs!$AJ$7</c:f>
              <c:strCache>
                <c:ptCount val="1"/>
                <c:pt idx="0">
                  <c:v>BAU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Costs!$AK$6:$BG$6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Costs!$AK$7:$BG$7</c:f>
              <c:numCache>
                <c:formatCode>_("$"* #,##0_);_("$"* \(#,##0\);_("$"* "-"??_);_(@_)</c:formatCode>
                <c:ptCount val="23"/>
                <c:pt idx="0">
                  <c:v>2765250362.6626897</c:v>
                </c:pt>
                <c:pt idx="1">
                  <c:v>2750272408.6150794</c:v>
                </c:pt>
                <c:pt idx="2">
                  <c:v>2704291286.3971086</c:v>
                </c:pt>
                <c:pt idx="3">
                  <c:v>2620500675.7467818</c:v>
                </c:pt>
                <c:pt idx="4">
                  <c:v>2548352046.0915756</c:v>
                </c:pt>
                <c:pt idx="5">
                  <c:v>2478167941.7875896</c:v>
                </c:pt>
                <c:pt idx="6">
                  <c:v>2425256213.9948454</c:v>
                </c:pt>
                <c:pt idx="7">
                  <c:v>2351505568.4556646</c:v>
                </c:pt>
                <c:pt idx="8">
                  <c:v>2363719296.6061087</c:v>
                </c:pt>
                <c:pt idx="9">
                  <c:v>2373691990.0537148</c:v>
                </c:pt>
                <c:pt idx="10">
                  <c:v>2389031836.1398768</c:v>
                </c:pt>
                <c:pt idx="11">
                  <c:v>2401939986.3401074</c:v>
                </c:pt>
                <c:pt idx="12">
                  <c:v>2416860657.1373863</c:v>
                </c:pt>
                <c:pt idx="13">
                  <c:v>2422537304.0751529</c:v>
                </c:pt>
                <c:pt idx="14">
                  <c:v>2428510248.8768001</c:v>
                </c:pt>
                <c:pt idx="15">
                  <c:v>2435119737.8764968</c:v>
                </c:pt>
                <c:pt idx="16">
                  <c:v>2444513480.4622631</c:v>
                </c:pt>
                <c:pt idx="17">
                  <c:v>2454711420.6831594</c:v>
                </c:pt>
                <c:pt idx="18">
                  <c:v>2453698250.1448798</c:v>
                </c:pt>
                <c:pt idx="19">
                  <c:v>2454035579.1642857</c:v>
                </c:pt>
                <c:pt idx="20">
                  <c:v>2454023688.4489269</c:v>
                </c:pt>
                <c:pt idx="21">
                  <c:v>2454991801.3333282</c:v>
                </c:pt>
                <c:pt idx="22">
                  <c:v>2456756119.1653347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C0C-9240-8C94-0B00EB80FB5B}"/>
            </c:ext>
          </c:extLst>
        </c:ser>
        <c:ser>
          <c:idx val="1"/>
          <c:order val="1"/>
          <c:tx>
            <c:strRef>
              <c:f>Costs!$AJ$8</c:f>
              <c:strCache>
                <c:ptCount val="1"/>
                <c:pt idx="0">
                  <c:v>EV high rate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Costs!$AK$6:$BG$6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Costs!$AK$8:$BG$8</c:f>
              <c:numCache>
                <c:formatCode>_("$"* #,##0_);_("$"* \(#,##0\);_("$"* "-"??_);_(@_)</c:formatCode>
                <c:ptCount val="23"/>
                <c:pt idx="0">
                  <c:v>2765250362.6626897</c:v>
                </c:pt>
                <c:pt idx="1">
                  <c:v>2714636435.4073224</c:v>
                </c:pt>
                <c:pt idx="2">
                  <c:v>2628346325.779367</c:v>
                </c:pt>
                <c:pt idx="3">
                  <c:v>2507671663.16646</c:v>
                </c:pt>
                <c:pt idx="4">
                  <c:v>2396771811.4754205</c:v>
                </c:pt>
                <c:pt idx="5">
                  <c:v>2286410421.4911361</c:v>
                </c:pt>
                <c:pt idx="6">
                  <c:v>2189730988.4197173</c:v>
                </c:pt>
                <c:pt idx="7">
                  <c:v>2074051672.4844391</c:v>
                </c:pt>
                <c:pt idx="8">
                  <c:v>2028119452.7603216</c:v>
                </c:pt>
                <c:pt idx="9">
                  <c:v>1975027224.2746181</c:v>
                </c:pt>
                <c:pt idx="10">
                  <c:v>1920352768.2015674</c:v>
                </c:pt>
                <c:pt idx="11">
                  <c:v>1858293624.5933576</c:v>
                </c:pt>
                <c:pt idx="12">
                  <c:v>1792099403.7748823</c:v>
                </c:pt>
                <c:pt idx="13">
                  <c:v>1711354698.9085124</c:v>
                </c:pt>
                <c:pt idx="14">
                  <c:v>1626222525.6818988</c:v>
                </c:pt>
                <c:pt idx="15">
                  <c:v>1537642482.2443886</c:v>
                </c:pt>
                <c:pt idx="16">
                  <c:v>1447466546.1884902</c:v>
                </c:pt>
                <c:pt idx="17">
                  <c:v>1355848304.5952556</c:v>
                </c:pt>
                <c:pt idx="18">
                  <c:v>1260485585.8876932</c:v>
                </c:pt>
                <c:pt idx="19">
                  <c:v>1167985699.6758857</c:v>
                </c:pt>
                <c:pt idx="20">
                  <c:v>1079489890.7963207</c:v>
                </c:pt>
                <c:pt idx="21">
                  <c:v>996915261.10001421</c:v>
                </c:pt>
                <c:pt idx="22">
                  <c:v>921591688.74754667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0C-9240-8C94-0B00EB80FB5B}"/>
            </c:ext>
          </c:extLst>
        </c:ser>
        <c:ser>
          <c:idx val="2"/>
          <c:order val="2"/>
          <c:tx>
            <c:strRef>
              <c:f>Costs!$AJ$9</c:f>
              <c:strCache>
                <c:ptCount val="1"/>
                <c:pt idx="0">
                  <c:v>EV low rate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Costs!$AK$6:$BG$6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Costs!$AK$9:$BG$9</c:f>
              <c:numCache>
                <c:formatCode>_("$"* #,##0_);_("$"* \(#,##0\);_("$"* "-"??_);_(@_)</c:formatCode>
                <c:ptCount val="23"/>
                <c:pt idx="0">
                  <c:v>2765250362.6626897</c:v>
                </c:pt>
                <c:pt idx="1">
                  <c:v>2711721787.3944812</c:v>
                </c:pt>
                <c:pt idx="2">
                  <c:v>2622690367.9955449</c:v>
                </c:pt>
                <c:pt idx="3">
                  <c:v>2498279673.2520857</c:v>
                </c:pt>
                <c:pt idx="4">
                  <c:v>2383384365.9053741</c:v>
                </c:pt>
                <c:pt idx="5">
                  <c:v>2268752008.4748535</c:v>
                </c:pt>
                <c:pt idx="6">
                  <c:v>2167526340.0116572</c:v>
                </c:pt>
                <c:pt idx="7">
                  <c:v>2047003500.2650847</c:v>
                </c:pt>
                <c:pt idx="8">
                  <c:v>1995514721.3199818</c:v>
                </c:pt>
                <c:pt idx="9">
                  <c:v>1936434590.1388807</c:v>
                </c:pt>
                <c:pt idx="10">
                  <c:v>1875350186.6143086</c:v>
                </c:pt>
                <c:pt idx="11">
                  <c:v>1806473117.8638573</c:v>
                </c:pt>
                <c:pt idx="12">
                  <c:v>1733085909.4699788</c:v>
                </c:pt>
                <c:pt idx="13">
                  <c:v>1645625336.0339561</c:v>
                </c:pt>
                <c:pt idx="14">
                  <c:v>1553679380.5165269</c:v>
                </c:pt>
                <c:pt idx="15">
                  <c:v>1458271535.5911627</c:v>
                </c:pt>
                <c:pt idx="16">
                  <c:v>1361351796.3445523</c:v>
                </c:pt>
                <c:pt idx="17">
                  <c:v>1263182216.1329758</c:v>
                </c:pt>
                <c:pt idx="18">
                  <c:v>1161575432.000483</c:v>
                </c:pt>
                <c:pt idx="19">
                  <c:v>1063261220.1658951</c:v>
                </c:pt>
                <c:pt idx="20">
                  <c:v>969495735.4716295</c:v>
                </c:pt>
                <c:pt idx="21">
                  <c:v>882299012.18397951</c:v>
                </c:pt>
                <c:pt idx="22">
                  <c:v>803082527.856475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C0C-9240-8C94-0B00EB80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102864"/>
        <c:axId val="1000152608"/>
      </c:lineChart>
      <c:catAx>
        <c:axId val="1006102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00152608"/>
        <c:crosses val="autoZero"/>
        <c:auto val="1"/>
        <c:lblAlgn val="ctr"/>
        <c:lblOffset val="100"/>
        <c:noMultiLvlLbl val="0"/>
      </c:catAx>
      <c:valAx>
        <c:axId val="1000152608"/>
        <c:scaling>
          <c:orientation val="minMax"/>
        </c:scaling>
        <c:delete val="0"/>
        <c:axPos val="l"/>
        <c:numFmt formatCode="&quot;$&quot;#,##0" sourceLinked="0"/>
        <c:majorTickMark val="cross"/>
        <c:minorTickMark val="in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0610286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Average Retail Rate of Electricity in Colorado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Costs!$J$7</c:f>
              <c:strCache>
                <c:ptCount val="1"/>
                <c:pt idx="0">
                  <c:v>Cleaner Grid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Costs!$K$2:$AG$2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Costs!$K$7:$AG$7</c:f>
              <c:numCache>
                <c:formatCode>_("$"* #,##0.00_);_("$"* \(#,##0.00\);_("$"* "-"??_);_(@_)</c:formatCode>
                <c:ptCount val="23"/>
                <c:pt idx="0">
                  <c:v>98.3</c:v>
                </c:pt>
                <c:pt idx="1">
                  <c:v>96.47999999999999</c:v>
                </c:pt>
                <c:pt idx="2">
                  <c:v>94.66</c:v>
                </c:pt>
                <c:pt idx="3">
                  <c:v>94.486000000000004</c:v>
                </c:pt>
                <c:pt idx="4">
                  <c:v>94.311999999999998</c:v>
                </c:pt>
                <c:pt idx="5">
                  <c:v>94.138000000000005</c:v>
                </c:pt>
                <c:pt idx="6">
                  <c:v>93.963999999999999</c:v>
                </c:pt>
                <c:pt idx="7">
                  <c:v>93.79</c:v>
                </c:pt>
                <c:pt idx="8">
                  <c:v>94.676000000000002</c:v>
                </c:pt>
                <c:pt idx="9">
                  <c:v>95.561999999999998</c:v>
                </c:pt>
                <c:pt idx="10">
                  <c:v>96.448000000000008</c:v>
                </c:pt>
                <c:pt idx="11">
                  <c:v>97.334000000000003</c:v>
                </c:pt>
                <c:pt idx="12">
                  <c:v>98.22</c:v>
                </c:pt>
                <c:pt idx="13">
                  <c:v>98.183999999999997</c:v>
                </c:pt>
                <c:pt idx="14">
                  <c:v>98.147999999999996</c:v>
                </c:pt>
                <c:pt idx="15">
                  <c:v>98.111999999999995</c:v>
                </c:pt>
                <c:pt idx="16">
                  <c:v>98.075999999999993</c:v>
                </c:pt>
                <c:pt idx="17">
                  <c:v>98.039999999999992</c:v>
                </c:pt>
                <c:pt idx="18">
                  <c:v>98.004000000000005</c:v>
                </c:pt>
                <c:pt idx="19">
                  <c:v>97.968000000000004</c:v>
                </c:pt>
                <c:pt idx="20">
                  <c:v>97.932000000000002</c:v>
                </c:pt>
                <c:pt idx="21">
                  <c:v>97.896000000000001</c:v>
                </c:pt>
                <c:pt idx="22">
                  <c:v>97.86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8-4643-9BAF-A81D3AD67745}"/>
            </c:ext>
          </c:extLst>
        </c:ser>
        <c:ser>
          <c:idx val="1"/>
          <c:order val="1"/>
          <c:tx>
            <c:strRef>
              <c:f>Costs!$J$8</c:f>
              <c:strCache>
                <c:ptCount val="1"/>
                <c:pt idx="0">
                  <c:v>EV Grid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Costs!$K$2:$AG$2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Costs!$K$8:$AG$8</c:f>
              <c:numCache>
                <c:formatCode>_("$"* #,##0.00_);_("$"* \(#,##0.00\);_("$"* "-"??_);_(@_)</c:formatCode>
                <c:ptCount val="23"/>
                <c:pt idx="0">
                  <c:v>98.3</c:v>
                </c:pt>
                <c:pt idx="1">
                  <c:v>96.47999999999999</c:v>
                </c:pt>
                <c:pt idx="2">
                  <c:v>94.66</c:v>
                </c:pt>
                <c:pt idx="3">
                  <c:v>94.429999999999993</c:v>
                </c:pt>
                <c:pt idx="4">
                  <c:v>94.2</c:v>
                </c:pt>
                <c:pt idx="5">
                  <c:v>93.97</c:v>
                </c:pt>
                <c:pt idx="6">
                  <c:v>93.740000000000009</c:v>
                </c:pt>
                <c:pt idx="7">
                  <c:v>93.51</c:v>
                </c:pt>
                <c:pt idx="8">
                  <c:v>94.596000000000004</c:v>
                </c:pt>
                <c:pt idx="9">
                  <c:v>95.682000000000002</c:v>
                </c:pt>
                <c:pt idx="10">
                  <c:v>96.768000000000001</c:v>
                </c:pt>
                <c:pt idx="11">
                  <c:v>97.853999999999999</c:v>
                </c:pt>
                <c:pt idx="12">
                  <c:v>98.94</c:v>
                </c:pt>
                <c:pt idx="13">
                  <c:v>98.823999999999998</c:v>
                </c:pt>
                <c:pt idx="14">
                  <c:v>98.707999999999998</c:v>
                </c:pt>
                <c:pt idx="15">
                  <c:v>98.591999999999999</c:v>
                </c:pt>
                <c:pt idx="16">
                  <c:v>98.475999999999999</c:v>
                </c:pt>
                <c:pt idx="17">
                  <c:v>98.36</c:v>
                </c:pt>
                <c:pt idx="18">
                  <c:v>98.244</c:v>
                </c:pt>
                <c:pt idx="19">
                  <c:v>98.128</c:v>
                </c:pt>
                <c:pt idx="20">
                  <c:v>98.012</c:v>
                </c:pt>
                <c:pt idx="21">
                  <c:v>97.896000000000001</c:v>
                </c:pt>
                <c:pt idx="22">
                  <c:v>97.78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8-4643-9BAF-A81D3AD6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290927"/>
        <c:axId val="293517599"/>
      </c:barChart>
      <c:catAx>
        <c:axId val="293290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3517599"/>
        <c:crosses val="autoZero"/>
        <c:auto val="1"/>
        <c:lblAlgn val="ctr"/>
        <c:lblOffset val="100"/>
        <c:noMultiLvlLbl val="0"/>
      </c:catAx>
      <c:valAx>
        <c:axId val="2935175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Average Retail Rate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cross"/>
        <c:minorTickMark val="in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3290927"/>
        <c:crosses val="autoZero"/>
        <c:crossBetween val="between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Colorado GHG Emissions Compared With 2005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'GHG Emissions'!$B$28</c:f>
              <c:strCache>
                <c:ptCount val="1"/>
                <c:pt idx="0">
                  <c:v>Cleaner Grid with EVs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 w="25400">
              <a:noFill/>
            </a:ln>
            <a:effectLst/>
          </c:spPr>
          <c:cat>
            <c:numRef>
              <c:f>'GHG Emissions'!$C$25:$Y$25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'GHG Emissions'!$C$32:$Y$32</c:f>
              <c:numCache>
                <c:formatCode>0%</c:formatCode>
                <c:ptCount val="23"/>
                <c:pt idx="0">
                  <c:v>0.93773732860555215</c:v>
                </c:pt>
                <c:pt idx="1">
                  <c:v>0.96347231029049574</c:v>
                </c:pt>
                <c:pt idx="2">
                  <c:v>0.98920729197543944</c:v>
                </c:pt>
                <c:pt idx="3">
                  <c:v>0.96338622943044672</c:v>
                </c:pt>
                <c:pt idx="4">
                  <c:v>0.93756516688545433</c:v>
                </c:pt>
                <c:pt idx="5">
                  <c:v>0.9117441043404616</c:v>
                </c:pt>
                <c:pt idx="6">
                  <c:v>0.8859230417954691</c:v>
                </c:pt>
                <c:pt idx="7">
                  <c:v>0.86010197925047638</c:v>
                </c:pt>
                <c:pt idx="8">
                  <c:v>0.83428091670548388</c:v>
                </c:pt>
                <c:pt idx="9">
                  <c:v>0.80845985416049126</c:v>
                </c:pt>
                <c:pt idx="10">
                  <c:v>0.78263879161549865</c:v>
                </c:pt>
                <c:pt idx="11">
                  <c:v>0.75681772907050604</c:v>
                </c:pt>
                <c:pt idx="12">
                  <c:v>0.73099666652551354</c:v>
                </c:pt>
                <c:pt idx="13">
                  <c:v>0.71248665289011226</c:v>
                </c:pt>
                <c:pt idx="14">
                  <c:v>0.69397663925471098</c:v>
                </c:pt>
                <c:pt idx="15">
                  <c:v>0.67546662561930981</c:v>
                </c:pt>
                <c:pt idx="16">
                  <c:v>0.65695661198390853</c:v>
                </c:pt>
                <c:pt idx="17">
                  <c:v>0.63844659834850737</c:v>
                </c:pt>
                <c:pt idx="18">
                  <c:v>0.6199365847131062</c:v>
                </c:pt>
                <c:pt idx="19">
                  <c:v>0.60142657107770481</c:v>
                </c:pt>
                <c:pt idx="20">
                  <c:v>0.58291655744230364</c:v>
                </c:pt>
                <c:pt idx="21">
                  <c:v>0.56440654380690236</c:v>
                </c:pt>
                <c:pt idx="22">
                  <c:v>0.54589653017150119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7-A842-A5EF-F7E04260DF53}"/>
            </c:ext>
          </c:extLst>
        </c:ser>
        <c:ser>
          <c:idx val="1"/>
          <c:order val="1"/>
          <c:tx>
            <c:strRef>
              <c:f>'GHG Emissions'!$B$27</c:f>
              <c:strCache>
                <c:ptCount val="1"/>
                <c:pt idx="0">
                  <c:v>Cleaner Grid Only</c:v>
                </c:pt>
              </c:strCache>
            </c:strRef>
          </c:tx>
          <c:spPr>
            <a:solidFill>
              <a:schemeClr val="bg2">
                <a:lumMod val="25000"/>
                <a:alpha val="50000"/>
              </a:schemeClr>
            </a:solidFill>
            <a:ln w="25400">
              <a:noFill/>
            </a:ln>
            <a:effectLst/>
          </c:spPr>
          <c:cat>
            <c:numRef>
              <c:f>'GHG Emissions'!$C$25:$Y$25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'GHG Emissions'!$C$31:$Y$31</c:f>
              <c:numCache>
                <c:formatCode>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1.2180147872115278E-2</c:v>
                </c:pt>
                <c:pt idx="4">
                  <c:v>2.7647621596442899E-2</c:v>
                </c:pt>
                <c:pt idx="5">
                  <c:v>4.3115095320770666E-2</c:v>
                </c:pt>
                <c:pt idx="6">
                  <c:v>5.858256904509844E-2</c:v>
                </c:pt>
                <c:pt idx="7">
                  <c:v>7.4050042769426214E-2</c:v>
                </c:pt>
                <c:pt idx="8">
                  <c:v>8.9517516493753974E-2</c:v>
                </c:pt>
                <c:pt idx="9">
                  <c:v>0.10498499021808159</c:v>
                </c:pt>
                <c:pt idx="10">
                  <c:v>0.12045246394240967</c:v>
                </c:pt>
                <c:pt idx="11">
                  <c:v>0.13591993766673729</c:v>
                </c:pt>
                <c:pt idx="12">
                  <c:v>0.1513874113910649</c:v>
                </c:pt>
                <c:pt idx="13">
                  <c:v>0.16012609324581834</c:v>
                </c:pt>
                <c:pt idx="14">
                  <c:v>0.16886477510057174</c:v>
                </c:pt>
                <c:pt idx="15">
                  <c:v>0.17760345695532501</c:v>
                </c:pt>
                <c:pt idx="16">
                  <c:v>0.18634213881007841</c:v>
                </c:pt>
                <c:pt idx="17">
                  <c:v>0.19508082066483168</c:v>
                </c:pt>
                <c:pt idx="18">
                  <c:v>0.20381950251958494</c:v>
                </c:pt>
                <c:pt idx="19">
                  <c:v>0.21255818437433838</c:v>
                </c:pt>
                <c:pt idx="20">
                  <c:v>0.22129686622909178</c:v>
                </c:pt>
                <c:pt idx="21">
                  <c:v>0.23003554808384513</c:v>
                </c:pt>
                <c:pt idx="22">
                  <c:v>0.23877422993859831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7-A842-A5EF-F7E04260DF53}"/>
            </c:ext>
          </c:extLst>
        </c:ser>
        <c:ser>
          <c:idx val="0"/>
          <c:order val="2"/>
          <c:tx>
            <c:strRef>
              <c:f>'GHG Emissions'!$B$26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chemeClr val="bg2">
                <a:lumMod val="25000"/>
                <a:alpha val="20000"/>
              </a:schemeClr>
            </a:solidFill>
            <a:ln w="25400">
              <a:noFill/>
            </a:ln>
            <a:effectLst/>
          </c:spPr>
          <c:cat>
            <c:numRef>
              <c:f>'GHG Emissions'!$C$25:$Y$25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'GHG Emissions'!$C$30:$Y$30</c:f>
              <c:numCache>
                <c:formatCode>0%</c:formatCode>
                <c:ptCount val="23"/>
                <c:pt idx="0">
                  <c:v>0</c:v>
                </c:pt>
                <c:pt idx="1">
                  <c:v>1.7203048909591363E-2</c:v>
                </c:pt>
                <c:pt idx="2">
                  <c:v>3.4406097819182725E-2</c:v>
                </c:pt>
                <c:pt idx="3">
                  <c:v>4.835909379631588E-2</c:v>
                </c:pt>
                <c:pt idx="4">
                  <c:v>6.2312089773449035E-2</c:v>
                </c:pt>
                <c:pt idx="5">
                  <c:v>7.6265085750582343E-2</c:v>
                </c:pt>
                <c:pt idx="6">
                  <c:v>9.0218081727715504E-2</c:v>
                </c:pt>
                <c:pt idx="7">
                  <c:v>0.10417107770484865</c:v>
                </c:pt>
                <c:pt idx="8">
                  <c:v>0.11812407368198166</c:v>
                </c:pt>
                <c:pt idx="9">
                  <c:v>0.13207706965911498</c:v>
                </c:pt>
                <c:pt idx="10">
                  <c:v>0.14603006563624799</c:v>
                </c:pt>
                <c:pt idx="11">
                  <c:v>0.15998306161338127</c:v>
                </c:pt>
                <c:pt idx="12">
                  <c:v>0.17393605759051459</c:v>
                </c:pt>
                <c:pt idx="13">
                  <c:v>0.1781706542451833</c:v>
                </c:pt>
                <c:pt idx="14">
                  <c:v>0.18240525089985185</c:v>
                </c:pt>
                <c:pt idx="15">
                  <c:v>0.1866398475545204</c:v>
                </c:pt>
                <c:pt idx="16">
                  <c:v>0.19087444420918895</c:v>
                </c:pt>
                <c:pt idx="17">
                  <c:v>0.1951090408638578</c:v>
                </c:pt>
                <c:pt idx="18">
                  <c:v>0.19934363751852635</c:v>
                </c:pt>
                <c:pt idx="19">
                  <c:v>0.20357823417319507</c:v>
                </c:pt>
                <c:pt idx="20">
                  <c:v>0.20781283082786361</c:v>
                </c:pt>
                <c:pt idx="21">
                  <c:v>0.2120474274825323</c:v>
                </c:pt>
                <c:pt idx="22">
                  <c:v>0.21628202413720102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A842-A5EF-F7E04260D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60000"/>
        <c:axId val="359985216"/>
      </c:areaChart>
      <c:catAx>
        <c:axId val="3588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59985216"/>
        <c:crosses val="autoZero"/>
        <c:auto val="1"/>
        <c:lblAlgn val="ctr"/>
        <c:lblOffset val="100"/>
        <c:noMultiLvlLbl val="0"/>
      </c:catAx>
      <c:valAx>
        <c:axId val="359985216"/>
        <c:scaling>
          <c:orientation val="minMax"/>
          <c:max val="1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GHG Emissions Compared With</a:t>
                </a:r>
                <a:r>
                  <a:rPr lang="en-US" baseline="0"/>
                  <a:t> 2005 Levels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cross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5886000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45</xdr:row>
      <xdr:rowOff>63500</xdr:rowOff>
    </xdr:from>
    <xdr:to>
      <xdr:col>34</xdr:col>
      <xdr:colOff>603250</xdr:colOff>
      <xdr:row>81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DE7D6-AE18-F449-A341-1BD18F4CB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685800</xdr:colOff>
      <xdr:row>45</xdr:row>
      <xdr:rowOff>88900</xdr:rowOff>
    </xdr:from>
    <xdr:to>
      <xdr:col>21</xdr:col>
      <xdr:colOff>215900</xdr:colOff>
      <xdr:row>81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D7F254-49E2-F24E-99C2-A85795F77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984250</xdr:colOff>
      <xdr:row>10</xdr:row>
      <xdr:rowOff>127000</xdr:rowOff>
    </xdr:from>
    <xdr:to>
      <xdr:col>44</xdr:col>
      <xdr:colOff>1187450</xdr:colOff>
      <xdr:row>46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888A4E-1052-A14D-ABE0-66320D792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133350</xdr:colOff>
      <xdr:row>10</xdr:row>
      <xdr:rowOff>25400</xdr:rowOff>
    </xdr:from>
    <xdr:to>
      <xdr:col>54</xdr:col>
      <xdr:colOff>336550</xdr:colOff>
      <xdr:row>46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4C6FE1-3111-9F44-95CA-FBC30F23B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882650</xdr:colOff>
      <xdr:row>10</xdr:row>
      <xdr:rowOff>139700</xdr:rowOff>
    </xdr:from>
    <xdr:to>
      <xdr:col>62</xdr:col>
      <xdr:colOff>857250</xdr:colOff>
      <xdr:row>46</xdr:row>
      <xdr:rowOff>139700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6793FA-E7E5-4B43-87F9-B7FC6C6EA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0.83217</cdr:x>
      <cdr:y>0.10938</cdr:y>
    </cdr:from>
    <cdr:to>
      <cdr:x>0.98379</cdr:x>
      <cdr:y>0.19444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9EF344B-2709-C748-861B-3D1EBA0509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131288" y="800100"/>
          <a:ext cx="1663696" cy="62230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0.8287</cdr:x>
      <cdr:y>0.10243</cdr:y>
    </cdr:from>
    <cdr:to>
      <cdr:x>0.98032</cdr:x>
      <cdr:y>0.1875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9EF344B-2709-C748-861B-3D1EBA0509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93188" y="749300"/>
          <a:ext cx="1663696" cy="62230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0.82407</cdr:x>
      <cdr:y>0.10764</cdr:y>
    </cdr:from>
    <cdr:to>
      <cdr:x>0.97569</cdr:x>
      <cdr:y>0.19271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E4C9925-A7AB-4B4D-AAF4-A4D9F0333C6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42388" y="787428"/>
          <a:ext cx="1663696" cy="62230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0.8287</cdr:x>
      <cdr:y>0.1059</cdr:y>
    </cdr:from>
    <cdr:to>
      <cdr:x>0.98032</cdr:x>
      <cdr:y>0.19097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ACB6D7-B1AD-B64C-80A3-0C86F062C06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93200" y="774700"/>
          <a:ext cx="1663696" cy="62230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0.82871</cdr:x>
      <cdr:y>0.10591</cdr:y>
    </cdr:from>
    <cdr:to>
      <cdr:x>0.98033</cdr:x>
      <cdr:y>0.19098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AB64F-8783-444A-852A-CFAE2AD84BE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93216" y="774728"/>
          <a:ext cx="1663696" cy="62230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19050</xdr:rowOff>
    </xdr:from>
    <xdr:to>
      <xdr:col>10</xdr:col>
      <xdr:colOff>209550</xdr:colOff>
      <xdr:row>69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DB2357-CFDD-EE4C-8F9A-082FD4A30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0.82986</cdr:x>
      <cdr:y>0.09375</cdr:y>
    </cdr:from>
    <cdr:to>
      <cdr:x>0.98148</cdr:x>
      <cdr:y>0.17882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53303659-A899-FD41-903C-C005921FEC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105900" y="685800"/>
          <a:ext cx="1663700" cy="6223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74E4-2FE5-AF4E-8D79-123990487E02}">
  <dimension ref="A1:BK69"/>
  <sheetViews>
    <sheetView tabSelected="1" topLeftCell="AR1" workbookViewId="0">
      <selection activeCell="AJ10" sqref="AJ10"/>
    </sheetView>
  </sheetViews>
  <sheetFormatPr defaultColWidth="11" defaultRowHeight="17.25" x14ac:dyDescent="0.3"/>
  <cols>
    <col min="1" max="1" width="7.625" style="1" bestFit="1" customWidth="1"/>
    <col min="2" max="2" width="19" style="3" bestFit="1" customWidth="1"/>
    <col min="3" max="3" width="19.5" style="3" bestFit="1" customWidth="1"/>
    <col min="4" max="4" width="20.875" style="3" bestFit="1" customWidth="1"/>
    <col min="5" max="5" width="19.375" style="3" customWidth="1"/>
    <col min="6" max="6" width="40.375" style="3" customWidth="1"/>
    <col min="7" max="7" width="22.875" style="3" bestFit="1" customWidth="1"/>
    <col min="8" max="8" width="104.125" style="3" bestFit="1" customWidth="1"/>
    <col min="10" max="10" width="18.5" bestFit="1" customWidth="1"/>
    <col min="11" max="11" width="12.5" bestFit="1" customWidth="1"/>
    <col min="36" max="36" width="25.875" bestFit="1" customWidth="1"/>
    <col min="37" max="59" width="17.625" bestFit="1" customWidth="1"/>
    <col min="60" max="62" width="18.625" bestFit="1" customWidth="1"/>
    <col min="63" max="63" width="16" bestFit="1" customWidth="1"/>
  </cols>
  <sheetData>
    <row r="1" spans="1:63" x14ac:dyDescent="0.3">
      <c r="B1" s="1"/>
      <c r="C1" s="1" t="s">
        <v>0</v>
      </c>
      <c r="D1" s="1" t="s">
        <v>1</v>
      </c>
      <c r="E1" s="1" t="s">
        <v>2</v>
      </c>
      <c r="F1" s="1" t="s">
        <v>3</v>
      </c>
      <c r="K1" s="22">
        <f>(K8-K7)/K7</f>
        <v>0</v>
      </c>
      <c r="L1" s="22">
        <f t="shared" ref="L1:AG1" si="0">(L8-L7)/L7</f>
        <v>0</v>
      </c>
      <c r="M1" s="22">
        <f t="shared" si="0"/>
        <v>0</v>
      </c>
      <c r="N1" s="22">
        <f t="shared" si="0"/>
        <v>-5.9268039709598874E-4</v>
      </c>
      <c r="O1" s="22">
        <f t="shared" si="0"/>
        <v>-1.1875477139705953E-3</v>
      </c>
      <c r="P1" s="22">
        <f t="shared" si="0"/>
        <v>-1.7846140772058718E-3</v>
      </c>
      <c r="Q1" s="22">
        <f t="shared" si="0"/>
        <v>-2.3838917032053715E-3</v>
      </c>
      <c r="R1" s="22">
        <f t="shared" si="0"/>
        <v>-2.9853928990297594E-3</v>
      </c>
      <c r="S1" s="22">
        <f t="shared" si="0"/>
        <v>-8.4498711394649434E-4</v>
      </c>
      <c r="T1" s="22">
        <f t="shared" si="0"/>
        <v>1.255729264770563E-3</v>
      </c>
      <c r="U1" s="22">
        <f t="shared" si="0"/>
        <v>3.3178500331784294E-3</v>
      </c>
      <c r="V1" s="22">
        <f t="shared" si="0"/>
        <v>5.3424291614440587E-3</v>
      </c>
      <c r="W1" s="22">
        <f t="shared" si="0"/>
        <v>7.3304825901038366E-3</v>
      </c>
      <c r="X1" s="22">
        <f t="shared" si="0"/>
        <v>6.5183736657703963E-3</v>
      </c>
      <c r="Y1" s="22">
        <f t="shared" si="0"/>
        <v>5.7056689896890648E-3</v>
      </c>
      <c r="Z1" s="22">
        <f t="shared" si="0"/>
        <v>4.8923679060665767E-3</v>
      </c>
      <c r="AA1" s="22">
        <f t="shared" si="0"/>
        <v>4.0784697581468018E-3</v>
      </c>
      <c r="AB1" s="22">
        <f t="shared" si="0"/>
        <v>3.2639738882089698E-3</v>
      </c>
      <c r="AC1" s="22">
        <f t="shared" si="0"/>
        <v>2.4488796375657612E-3</v>
      </c>
      <c r="AD1" s="22">
        <f t="shared" si="0"/>
        <v>1.6331863465621078E-3</v>
      </c>
      <c r="AE1" s="22">
        <f t="shared" si="0"/>
        <v>8.1689335457254316E-4</v>
      </c>
      <c r="AF1" s="22">
        <f t="shared" si="0"/>
        <v>0</v>
      </c>
      <c r="AG1" s="22">
        <f t="shared" si="0"/>
        <v>-8.1749437972612196E-4</v>
      </c>
    </row>
    <row r="2" spans="1:63" x14ac:dyDescent="0.3">
      <c r="A2" s="1">
        <v>2016</v>
      </c>
      <c r="B2" s="1"/>
      <c r="C2" s="1" t="s">
        <v>4</v>
      </c>
      <c r="D2" s="1" t="s">
        <v>4</v>
      </c>
      <c r="E2" s="1" t="s">
        <v>4</v>
      </c>
      <c r="F2" s="1" t="s">
        <v>5</v>
      </c>
      <c r="J2" t="s">
        <v>3</v>
      </c>
      <c r="K2">
        <v>2018</v>
      </c>
      <c r="L2">
        <v>2019</v>
      </c>
      <c r="M2">
        <v>2020</v>
      </c>
      <c r="N2">
        <v>2021</v>
      </c>
      <c r="O2">
        <v>2022</v>
      </c>
      <c r="P2">
        <v>2023</v>
      </c>
      <c r="Q2">
        <v>2024</v>
      </c>
      <c r="R2">
        <v>2025</v>
      </c>
      <c r="S2">
        <v>2026</v>
      </c>
      <c r="T2">
        <v>2027</v>
      </c>
      <c r="U2">
        <v>2028</v>
      </c>
      <c r="V2">
        <v>2029</v>
      </c>
      <c r="W2">
        <v>2030</v>
      </c>
      <c r="X2">
        <v>2031</v>
      </c>
      <c r="Y2">
        <v>2032</v>
      </c>
      <c r="Z2">
        <v>2033</v>
      </c>
      <c r="AA2">
        <v>2034</v>
      </c>
      <c r="AB2">
        <v>2035</v>
      </c>
      <c r="AC2">
        <v>2036</v>
      </c>
      <c r="AD2">
        <v>2037</v>
      </c>
      <c r="AE2">
        <v>2038</v>
      </c>
      <c r="AF2">
        <v>2039</v>
      </c>
      <c r="AG2">
        <v>2040</v>
      </c>
      <c r="AK2">
        <v>2018</v>
      </c>
      <c r="AL2">
        <v>2019</v>
      </c>
      <c r="AM2">
        <v>2020</v>
      </c>
      <c r="AN2">
        <v>2021</v>
      </c>
      <c r="AO2">
        <v>2022</v>
      </c>
      <c r="AP2">
        <v>2023</v>
      </c>
      <c r="AQ2">
        <v>2024</v>
      </c>
      <c r="AR2">
        <v>2025</v>
      </c>
      <c r="AS2">
        <v>2026</v>
      </c>
      <c r="AT2">
        <v>2027</v>
      </c>
      <c r="AU2">
        <v>2028</v>
      </c>
      <c r="AV2">
        <v>2029</v>
      </c>
      <c r="AW2">
        <v>2030</v>
      </c>
      <c r="AX2">
        <v>2031</v>
      </c>
      <c r="AY2">
        <v>2032</v>
      </c>
      <c r="AZ2">
        <v>2033</v>
      </c>
      <c r="BA2">
        <v>2034</v>
      </c>
      <c r="BB2">
        <v>2035</v>
      </c>
      <c r="BC2">
        <v>2036</v>
      </c>
      <c r="BD2">
        <v>2037</v>
      </c>
      <c r="BE2">
        <v>2038</v>
      </c>
      <c r="BF2">
        <v>2039</v>
      </c>
      <c r="BG2">
        <v>2040</v>
      </c>
    </row>
    <row r="3" spans="1:63" x14ac:dyDescent="0.3">
      <c r="B3" s="1" t="s">
        <v>6</v>
      </c>
      <c r="C3" s="4">
        <v>0</v>
      </c>
      <c r="D3" s="4">
        <f>129*1000000</f>
        <v>129000000</v>
      </c>
      <c r="E3" s="4">
        <f>11.2*1000000</f>
        <v>11200000</v>
      </c>
      <c r="F3" s="4">
        <v>18834000</v>
      </c>
      <c r="H3" s="3" t="s">
        <v>10</v>
      </c>
      <c r="J3" t="s">
        <v>6</v>
      </c>
      <c r="K3" s="5">
        <v>121.64279099999999</v>
      </c>
      <c r="L3" s="14">
        <f>K3</f>
        <v>121.64279099999999</v>
      </c>
      <c r="M3" s="14">
        <f t="shared" ref="M3:AG6" si="1">L3</f>
        <v>121.64279099999999</v>
      </c>
      <c r="N3" s="14">
        <f t="shared" si="1"/>
        <v>121.64279099999999</v>
      </c>
      <c r="O3" s="14">
        <f t="shared" si="1"/>
        <v>121.64279099999999</v>
      </c>
      <c r="P3" s="14">
        <f t="shared" si="1"/>
        <v>121.64279099999999</v>
      </c>
      <c r="Q3" s="14">
        <f t="shared" si="1"/>
        <v>121.64279099999999</v>
      </c>
      <c r="R3" s="14">
        <f t="shared" si="1"/>
        <v>121.64279099999999</v>
      </c>
      <c r="S3" s="14">
        <f t="shared" si="1"/>
        <v>121.64279099999999</v>
      </c>
      <c r="T3" s="14">
        <f t="shared" si="1"/>
        <v>121.64279099999999</v>
      </c>
      <c r="U3" s="14">
        <f t="shared" si="1"/>
        <v>121.64279099999999</v>
      </c>
      <c r="V3" s="14">
        <f t="shared" si="1"/>
        <v>121.64279099999999</v>
      </c>
      <c r="W3" s="14">
        <f t="shared" si="1"/>
        <v>121.64279099999999</v>
      </c>
      <c r="X3" s="14">
        <f t="shared" si="1"/>
        <v>121.64279099999999</v>
      </c>
      <c r="Y3" s="14">
        <f t="shared" si="1"/>
        <v>121.64279099999999</v>
      </c>
      <c r="Z3" s="14">
        <f t="shared" si="1"/>
        <v>121.64279099999999</v>
      </c>
      <c r="AA3" s="14">
        <f t="shared" si="1"/>
        <v>121.64279099999999</v>
      </c>
      <c r="AB3" s="14">
        <f t="shared" si="1"/>
        <v>121.64279099999999</v>
      </c>
      <c r="AC3" s="14">
        <f t="shared" si="1"/>
        <v>121.64279099999999</v>
      </c>
      <c r="AD3" s="14">
        <f t="shared" si="1"/>
        <v>121.64279099999999</v>
      </c>
      <c r="AE3" s="14">
        <f t="shared" si="1"/>
        <v>121.64279099999999</v>
      </c>
      <c r="AF3" s="14">
        <f t="shared" si="1"/>
        <v>121.64279099999999</v>
      </c>
      <c r="AG3" s="14">
        <f t="shared" si="1"/>
        <v>121.64279099999999</v>
      </c>
      <c r="AJ3" t="s">
        <v>58</v>
      </c>
      <c r="AK3" s="17">
        <f>K28/10000</f>
        <v>9.6590509666080862E-2</v>
      </c>
      <c r="AL3" s="17">
        <f t="shared" ref="AL3:BG3" si="2">L28/10000</f>
        <v>9.6067328027720722E-2</v>
      </c>
      <c r="AM3" s="17">
        <f t="shared" si="2"/>
        <v>9.4461202199108391E-2</v>
      </c>
      <c r="AN3" s="17">
        <f t="shared" si="2"/>
        <v>9.1534386639393936E-2</v>
      </c>
      <c r="AO3" s="17">
        <f t="shared" si="2"/>
        <v>8.901422679990828E-2</v>
      </c>
      <c r="AP3" s="17">
        <f t="shared" si="2"/>
        <v>8.6562688054370715E-2</v>
      </c>
      <c r="AQ3" s="17">
        <f t="shared" si="2"/>
        <v>8.4714475384797858E-2</v>
      </c>
      <c r="AR3" s="17">
        <f t="shared" si="2"/>
        <v>8.2138356948284016E-2</v>
      </c>
      <c r="AS3" s="17">
        <f t="shared" si="2"/>
        <v>8.2564983861674379E-2</v>
      </c>
      <c r="AT3" s="17">
        <f t="shared" si="2"/>
        <v>8.291333117801658E-2</v>
      </c>
      <c r="AU3" s="17">
        <f t="shared" si="2"/>
        <v>8.3449153746442142E-2</v>
      </c>
      <c r="AV3" s="17">
        <f t="shared" si="2"/>
        <v>8.3900036901009764E-2</v>
      </c>
      <c r="AW3" s="17">
        <f t="shared" si="2"/>
        <v>8.4421217628920853E-2</v>
      </c>
      <c r="AX3" s="17">
        <f t="shared" si="2"/>
        <v>8.4619503552075134E-2</v>
      </c>
      <c r="AY3" s="17">
        <f t="shared" si="2"/>
        <v>8.4828139193313404E-2</v>
      </c>
      <c r="AZ3" s="17">
        <f t="shared" si="2"/>
        <v>8.505900939578516E-2</v>
      </c>
      <c r="BA3" s="17">
        <f t="shared" si="2"/>
        <v>8.5387133892677894E-2</v>
      </c>
      <c r="BB3" s="17">
        <f t="shared" si="2"/>
        <v>8.5743349104428962E-2</v>
      </c>
      <c r="BC3" s="17">
        <f t="shared" si="2"/>
        <v>8.5707958942296644E-2</v>
      </c>
      <c r="BD3" s="17">
        <f t="shared" si="2"/>
        <v>8.5719741883309691E-2</v>
      </c>
      <c r="BE3" s="17">
        <f t="shared" si="2"/>
        <v>8.5719326539269849E-2</v>
      </c>
      <c r="BF3" s="17">
        <f t="shared" si="2"/>
        <v>8.5753142832427687E-2</v>
      </c>
      <c r="BG3" s="17">
        <f t="shared" si="2"/>
        <v>8.5814770654959599E-2</v>
      </c>
      <c r="BH3" s="14"/>
      <c r="BI3" s="14"/>
    </row>
    <row r="4" spans="1:63" x14ac:dyDescent="0.3">
      <c r="B4" s="1" t="s">
        <v>7</v>
      </c>
      <c r="C4" s="4">
        <v>0</v>
      </c>
      <c r="D4" s="4">
        <f>57.4*1000000</f>
        <v>57400000</v>
      </c>
      <c r="E4" s="4">
        <f>12.8*1000000</f>
        <v>12800000</v>
      </c>
      <c r="F4" s="4">
        <v>20800000</v>
      </c>
      <c r="H4" s="3" t="s">
        <v>11</v>
      </c>
      <c r="J4" t="s">
        <v>7</v>
      </c>
      <c r="K4" s="5">
        <v>98.917938599999999</v>
      </c>
      <c r="L4" s="14">
        <f t="shared" ref="L4:AA6" si="3">K4</f>
        <v>98.917938599999999</v>
      </c>
      <c r="M4" s="14">
        <f t="shared" si="3"/>
        <v>98.917938599999999</v>
      </c>
      <c r="N4" s="14">
        <f t="shared" si="3"/>
        <v>98.917938599999999</v>
      </c>
      <c r="O4" s="14">
        <f t="shared" si="3"/>
        <v>98.917938599999999</v>
      </c>
      <c r="P4" s="14">
        <f t="shared" si="3"/>
        <v>98.917938599999999</v>
      </c>
      <c r="Q4" s="14">
        <f t="shared" si="3"/>
        <v>98.917938599999999</v>
      </c>
      <c r="R4" s="14">
        <f t="shared" si="3"/>
        <v>98.917938599999999</v>
      </c>
      <c r="S4" s="14">
        <f t="shared" si="3"/>
        <v>98.917938599999999</v>
      </c>
      <c r="T4" s="14">
        <f t="shared" si="3"/>
        <v>98.917938599999999</v>
      </c>
      <c r="U4" s="14">
        <f t="shared" si="3"/>
        <v>98.917938599999999</v>
      </c>
      <c r="V4" s="14">
        <f t="shared" si="3"/>
        <v>98.917938599999999</v>
      </c>
      <c r="W4" s="14">
        <f t="shared" si="3"/>
        <v>98.917938599999999</v>
      </c>
      <c r="X4" s="14">
        <f t="shared" si="3"/>
        <v>98.917938599999999</v>
      </c>
      <c r="Y4" s="14">
        <f t="shared" si="3"/>
        <v>98.917938599999999</v>
      </c>
      <c r="Z4" s="14">
        <f t="shared" si="3"/>
        <v>98.917938599999999</v>
      </c>
      <c r="AA4" s="14">
        <f t="shared" si="3"/>
        <v>98.917938599999999</v>
      </c>
      <c r="AB4" s="14">
        <f t="shared" si="1"/>
        <v>98.917938599999999</v>
      </c>
      <c r="AC4" s="14">
        <f t="shared" si="1"/>
        <v>98.917938599999999</v>
      </c>
      <c r="AD4" s="14">
        <f t="shared" si="1"/>
        <v>98.917938599999999</v>
      </c>
      <c r="AE4" s="14">
        <f t="shared" si="1"/>
        <v>98.917938599999999</v>
      </c>
      <c r="AF4" s="14">
        <f t="shared" si="1"/>
        <v>98.917938599999999</v>
      </c>
      <c r="AG4" s="14">
        <f t="shared" si="1"/>
        <v>98.917938599999999</v>
      </c>
      <c r="AJ4" t="s">
        <v>59</v>
      </c>
      <c r="AK4" s="17">
        <f>K29/10000</f>
        <v>9.6551318348382625E-2</v>
      </c>
      <c r="AL4" s="17">
        <f t="shared" ref="AL4:BG4" si="4">L29/10000</f>
        <v>9.478408545356827E-2</v>
      </c>
      <c r="AM4" s="17">
        <f t="shared" si="4"/>
        <v>9.1771185082050677E-2</v>
      </c>
      <c r="AN4" s="17">
        <f t="shared" si="4"/>
        <v>8.7557715689245572E-2</v>
      </c>
      <c r="AO4" s="17">
        <f t="shared" si="4"/>
        <v>8.3685543017292793E-2</v>
      </c>
      <c r="AP4" s="17">
        <f t="shared" si="4"/>
        <v>7.9832171242491784E-2</v>
      </c>
      <c r="AQ4" s="17">
        <f t="shared" si="4"/>
        <v>7.6456517867210652E-2</v>
      </c>
      <c r="AR4" s="17">
        <f t="shared" si="4"/>
        <v>7.2417465703978889E-2</v>
      </c>
      <c r="AS4" s="17">
        <f t="shared" si="4"/>
        <v>7.0813699032826263E-2</v>
      </c>
      <c r="AT4" s="17">
        <f t="shared" si="4"/>
        <v>6.895993391862075E-2</v>
      </c>
      <c r="AU4" s="17">
        <f t="shared" si="4"/>
        <v>6.7050923839421017E-2</v>
      </c>
      <c r="AV4" s="17">
        <f t="shared" si="4"/>
        <v>6.4884070446379741E-2</v>
      </c>
      <c r="AW4" s="17">
        <f t="shared" si="4"/>
        <v>6.2572836941680504E-2</v>
      </c>
      <c r="AX4" s="17">
        <f t="shared" si="4"/>
        <v>5.9753559595309515E-2</v>
      </c>
      <c r="AY4" s="17">
        <f t="shared" si="4"/>
        <v>5.6781089662794014E-2</v>
      </c>
      <c r="AZ4" s="17">
        <f t="shared" si="4"/>
        <v>5.3688234097624403E-2</v>
      </c>
      <c r="BA4" s="17">
        <f t="shared" si="4"/>
        <v>5.0539656440043774E-2</v>
      </c>
      <c r="BB4" s="17">
        <f t="shared" si="4"/>
        <v>4.7340719327503403E-2</v>
      </c>
      <c r="BC4" s="17">
        <f t="shared" si="4"/>
        <v>4.4011040273186156E-2</v>
      </c>
      <c r="BD4" s="17">
        <f t="shared" si="4"/>
        <v>4.0781319709213185E-2</v>
      </c>
      <c r="BE4" s="17">
        <f t="shared" si="4"/>
        <v>3.7691405272893927E-2</v>
      </c>
      <c r="BF4" s="17">
        <f t="shared" si="4"/>
        <v>3.4808234379235352E-2</v>
      </c>
      <c r="BG4" s="17">
        <f t="shared" si="4"/>
        <v>3.2178240975550318E-2</v>
      </c>
      <c r="BH4" s="14"/>
      <c r="BI4" s="14"/>
    </row>
    <row r="5" spans="1:63" x14ac:dyDescent="0.3">
      <c r="B5" s="1" t="s">
        <v>8</v>
      </c>
      <c r="C5" s="4">
        <f>6.6*1000000</f>
        <v>6600000</v>
      </c>
      <c r="D5" s="4">
        <f>205.3*1000000</f>
        <v>205300000</v>
      </c>
      <c r="E5" s="4">
        <f>59.3*1000000</f>
        <v>59300000</v>
      </c>
      <c r="F5" s="4">
        <v>15103000</v>
      </c>
      <c r="H5" s="3" t="s">
        <v>12</v>
      </c>
      <c r="J5" t="s">
        <v>8</v>
      </c>
      <c r="K5" s="5">
        <v>75.032958600000001</v>
      </c>
      <c r="L5" s="14">
        <f t="shared" si="3"/>
        <v>75.032958600000001</v>
      </c>
      <c r="M5" s="14">
        <f t="shared" si="1"/>
        <v>75.032958600000001</v>
      </c>
      <c r="N5" s="14">
        <f t="shared" si="1"/>
        <v>75.032958600000001</v>
      </c>
      <c r="O5" s="14">
        <f t="shared" si="1"/>
        <v>75.032958600000001</v>
      </c>
      <c r="P5" s="14">
        <f t="shared" si="1"/>
        <v>75.032958600000001</v>
      </c>
      <c r="Q5" s="14">
        <f t="shared" si="1"/>
        <v>75.032958600000001</v>
      </c>
      <c r="R5" s="14">
        <f t="shared" si="1"/>
        <v>75.032958600000001</v>
      </c>
      <c r="S5" s="14">
        <f t="shared" si="1"/>
        <v>75.032958600000001</v>
      </c>
      <c r="T5" s="14">
        <f t="shared" si="1"/>
        <v>75.032958600000001</v>
      </c>
      <c r="U5" s="14">
        <f t="shared" si="1"/>
        <v>75.032958600000001</v>
      </c>
      <c r="V5" s="14">
        <f t="shared" si="1"/>
        <v>75.032958600000001</v>
      </c>
      <c r="W5" s="14">
        <f t="shared" si="1"/>
        <v>75.032958600000001</v>
      </c>
      <c r="X5" s="14">
        <f t="shared" si="1"/>
        <v>75.032958600000001</v>
      </c>
      <c r="Y5" s="14">
        <f t="shared" si="1"/>
        <v>75.032958600000001</v>
      </c>
      <c r="Z5" s="14">
        <f t="shared" si="1"/>
        <v>75.032958600000001</v>
      </c>
      <c r="AA5" s="14">
        <f t="shared" si="1"/>
        <v>75.032958600000001</v>
      </c>
      <c r="AB5" s="14">
        <f t="shared" si="1"/>
        <v>75.032958600000001</v>
      </c>
      <c r="AC5" s="14">
        <f t="shared" si="1"/>
        <v>75.032958600000001</v>
      </c>
      <c r="AD5" s="14">
        <f t="shared" si="1"/>
        <v>75.032958600000001</v>
      </c>
      <c r="AE5" s="14">
        <f t="shared" si="1"/>
        <v>75.032958600000001</v>
      </c>
      <c r="AF5" s="14">
        <f t="shared" si="1"/>
        <v>75.032958600000001</v>
      </c>
      <c r="AG5" s="14">
        <f t="shared" si="1"/>
        <v>75.032958600000001</v>
      </c>
      <c r="AJ5" t="s">
        <v>60</v>
      </c>
      <c r="AK5" s="17">
        <f>K30/10000</f>
        <v>9.6495178208224883E-2</v>
      </c>
      <c r="AL5" s="17">
        <f t="shared" ref="AL5:BG5" si="5">L30/10000</f>
        <v>9.4627264373195311E-2</v>
      </c>
      <c r="AM5" s="17">
        <f t="shared" si="5"/>
        <v>9.1520456108370021E-2</v>
      </c>
      <c r="AN5" s="17">
        <f t="shared" si="5"/>
        <v>8.7179065425495514E-2</v>
      </c>
      <c r="AO5" s="17">
        <f t="shared" si="5"/>
        <v>8.3169720265502817E-2</v>
      </c>
      <c r="AP5" s="17">
        <f t="shared" si="5"/>
        <v>7.9169550910842365E-2</v>
      </c>
      <c r="AQ5" s="17">
        <f t="shared" si="5"/>
        <v>7.563721653364068E-2</v>
      </c>
      <c r="AR5" s="17">
        <f t="shared" si="5"/>
        <v>7.1431495034952122E-2</v>
      </c>
      <c r="AS5" s="17">
        <f t="shared" si="5"/>
        <v>6.9634761195905642E-2</v>
      </c>
      <c r="AT5" s="17">
        <f t="shared" si="5"/>
        <v>6.7573122270236666E-2</v>
      </c>
      <c r="AU5" s="17">
        <f t="shared" si="5"/>
        <v>6.5441542980551312E-2</v>
      </c>
      <c r="AV5" s="17">
        <f t="shared" si="5"/>
        <v>6.303803365883652E-2</v>
      </c>
      <c r="AW5" s="17">
        <f t="shared" si="5"/>
        <v>6.0477140132598063E-2</v>
      </c>
      <c r="AX5" s="17">
        <f t="shared" si="5"/>
        <v>5.7425147541310222E-2</v>
      </c>
      <c r="AY5" s="17">
        <f t="shared" si="5"/>
        <v>5.4216634676443776E-2</v>
      </c>
      <c r="AZ5" s="17">
        <f t="shared" si="5"/>
        <v>5.0887316968780315E-2</v>
      </c>
      <c r="BA5" s="17">
        <f t="shared" si="5"/>
        <v>4.7505240742781396E-2</v>
      </c>
      <c r="BB5" s="17">
        <f t="shared" si="5"/>
        <v>4.4079550517748339E-2</v>
      </c>
      <c r="BC5" s="17">
        <f t="shared" si="5"/>
        <v>4.0533916865760099E-2</v>
      </c>
      <c r="BD5" s="17">
        <f t="shared" si="5"/>
        <v>3.710317962783248E-2</v>
      </c>
      <c r="BE5" s="17">
        <f t="shared" si="5"/>
        <v>3.383117312978743E-2</v>
      </c>
      <c r="BF5" s="17">
        <f t="shared" si="5"/>
        <v>3.0788387758008993E-2</v>
      </c>
      <c r="BG5" s="17">
        <f t="shared" si="5"/>
        <v>2.80240779235638E-2</v>
      </c>
      <c r="BH5" s="14"/>
      <c r="BI5" s="14"/>
    </row>
    <row r="6" spans="1:63" x14ac:dyDescent="0.3">
      <c r="B6" s="1" t="s">
        <v>9</v>
      </c>
      <c r="C6" s="4">
        <v>0</v>
      </c>
      <c r="D6" s="4">
        <f>8.5*1000000</f>
        <v>8500000</v>
      </c>
      <c r="E6" s="4">
        <f>407.2*1000000</f>
        <v>407200000</v>
      </c>
      <c r="F6" s="4">
        <v>65000</v>
      </c>
      <c r="H6" s="3" t="s">
        <v>13</v>
      </c>
      <c r="J6" t="s">
        <v>9</v>
      </c>
      <c r="K6" s="5">
        <v>97.655446800000007</v>
      </c>
      <c r="L6" s="14">
        <f t="shared" si="3"/>
        <v>97.655446800000007</v>
      </c>
      <c r="M6" s="14">
        <f t="shared" si="1"/>
        <v>97.655446800000007</v>
      </c>
      <c r="N6" s="14">
        <f t="shared" si="1"/>
        <v>97.655446800000007</v>
      </c>
      <c r="O6" s="14">
        <f t="shared" si="1"/>
        <v>97.655446800000007</v>
      </c>
      <c r="P6" s="14">
        <f t="shared" si="1"/>
        <v>97.655446800000007</v>
      </c>
      <c r="Q6" s="14">
        <f t="shared" si="1"/>
        <v>97.655446800000007</v>
      </c>
      <c r="R6" s="14">
        <f t="shared" si="1"/>
        <v>97.655446800000007</v>
      </c>
      <c r="S6" s="14">
        <f t="shared" si="1"/>
        <v>97.655446800000007</v>
      </c>
      <c r="T6" s="14">
        <f t="shared" si="1"/>
        <v>97.655446800000007</v>
      </c>
      <c r="U6" s="14">
        <f t="shared" si="1"/>
        <v>97.655446800000007</v>
      </c>
      <c r="V6" s="14">
        <f t="shared" si="1"/>
        <v>97.655446800000007</v>
      </c>
      <c r="W6" s="14">
        <f t="shared" si="1"/>
        <v>97.655446800000007</v>
      </c>
      <c r="X6" s="14">
        <f t="shared" si="1"/>
        <v>97.655446800000007</v>
      </c>
      <c r="Y6" s="14">
        <f t="shared" si="1"/>
        <v>97.655446800000007</v>
      </c>
      <c r="Z6" s="14">
        <f t="shared" si="1"/>
        <v>97.655446800000007</v>
      </c>
      <c r="AA6" s="14">
        <f t="shared" si="1"/>
        <v>97.655446800000007</v>
      </c>
      <c r="AB6" s="14">
        <f t="shared" si="1"/>
        <v>97.655446800000007</v>
      </c>
      <c r="AC6" s="14">
        <f t="shared" si="1"/>
        <v>97.655446800000007</v>
      </c>
      <c r="AD6" s="14">
        <f t="shared" si="1"/>
        <v>97.655446800000007</v>
      </c>
      <c r="AE6" s="14">
        <f t="shared" si="1"/>
        <v>97.655446800000007</v>
      </c>
      <c r="AF6" s="14">
        <f t="shared" si="1"/>
        <v>97.655446800000007</v>
      </c>
      <c r="AG6" s="14">
        <f t="shared" si="1"/>
        <v>97.655446800000007</v>
      </c>
      <c r="AK6">
        <v>2018</v>
      </c>
      <c r="AL6">
        <v>2019</v>
      </c>
      <c r="AM6">
        <v>2020</v>
      </c>
      <c r="AN6">
        <v>2021</v>
      </c>
      <c r="AO6">
        <v>2022</v>
      </c>
      <c r="AP6">
        <v>2023</v>
      </c>
      <c r="AQ6">
        <v>2024</v>
      </c>
      <c r="AR6">
        <v>2025</v>
      </c>
      <c r="AS6">
        <v>2026</v>
      </c>
      <c r="AT6">
        <v>2027</v>
      </c>
      <c r="AU6">
        <v>2028</v>
      </c>
      <c r="AV6">
        <v>2029</v>
      </c>
      <c r="AW6">
        <v>2030</v>
      </c>
      <c r="AX6">
        <v>2031</v>
      </c>
      <c r="AY6">
        <v>2032</v>
      </c>
      <c r="AZ6">
        <v>2033</v>
      </c>
      <c r="BA6">
        <v>2034</v>
      </c>
      <c r="BB6">
        <v>2035</v>
      </c>
      <c r="BC6">
        <v>2036</v>
      </c>
      <c r="BD6">
        <v>2037</v>
      </c>
      <c r="BE6">
        <v>2038</v>
      </c>
      <c r="BF6">
        <v>2039</v>
      </c>
      <c r="BG6">
        <v>2040</v>
      </c>
      <c r="BH6" s="14"/>
      <c r="BI6" s="14"/>
      <c r="BJ6" t="s">
        <v>61</v>
      </c>
      <c r="BK6" t="s">
        <v>62</v>
      </c>
    </row>
    <row r="7" spans="1:63" x14ac:dyDescent="0.3">
      <c r="J7" t="s">
        <v>28</v>
      </c>
      <c r="K7" s="5">
        <v>98.3</v>
      </c>
      <c r="L7" s="5">
        <f>AVERAGE(K7,M7)</f>
        <v>96.47999999999999</v>
      </c>
      <c r="M7" s="5">
        <v>94.66</v>
      </c>
      <c r="N7" s="5">
        <f>($R7-$M7)/($R$2-$M$2)*(N$2-$M$2)+$M7</f>
        <v>94.486000000000004</v>
      </c>
      <c r="O7" s="5">
        <f t="shared" ref="O7:Q8" si="6">($R7-$M7)/($R$2-$M$2)*(O$2-$M$2)+$M7</f>
        <v>94.311999999999998</v>
      </c>
      <c r="P7" s="5">
        <f t="shared" si="6"/>
        <v>94.138000000000005</v>
      </c>
      <c r="Q7" s="5">
        <f t="shared" si="6"/>
        <v>93.963999999999999</v>
      </c>
      <c r="R7" s="5">
        <v>93.79</v>
      </c>
      <c r="S7" s="5">
        <f>($W7-$R7)/($W$2-$R$2)*(S$2-$R$2)+$R7</f>
        <v>94.676000000000002</v>
      </c>
      <c r="T7" s="5">
        <f t="shared" ref="T7:V8" si="7">($W7-$R7)/($W$2-$R$2)*(T$2-$R$2)+$R7</f>
        <v>95.561999999999998</v>
      </c>
      <c r="U7" s="5">
        <f t="shared" si="7"/>
        <v>96.448000000000008</v>
      </c>
      <c r="V7" s="5">
        <f t="shared" si="7"/>
        <v>97.334000000000003</v>
      </c>
      <c r="W7" s="5">
        <v>98.22</v>
      </c>
      <c r="X7" s="5">
        <f>($AG7-$W7)/($AG$2-$W$2)*(X$2-$W$2)+$W7</f>
        <v>98.183999999999997</v>
      </c>
      <c r="Y7" s="5">
        <f t="shared" ref="Y7:AF8" si="8">($AG7-$W7)/($AG$2-$W$2)*(Y$2-$W$2)+$W7</f>
        <v>98.147999999999996</v>
      </c>
      <c r="Z7" s="5">
        <f t="shared" si="8"/>
        <v>98.111999999999995</v>
      </c>
      <c r="AA7" s="5">
        <f t="shared" si="8"/>
        <v>98.075999999999993</v>
      </c>
      <c r="AB7" s="5">
        <f t="shared" si="8"/>
        <v>98.039999999999992</v>
      </c>
      <c r="AC7" s="5">
        <f t="shared" si="8"/>
        <v>98.004000000000005</v>
      </c>
      <c r="AD7" s="5">
        <f t="shared" si="8"/>
        <v>97.968000000000004</v>
      </c>
      <c r="AE7" s="5">
        <f t="shared" si="8"/>
        <v>97.932000000000002</v>
      </c>
      <c r="AF7" s="5">
        <f t="shared" si="8"/>
        <v>97.896000000000001</v>
      </c>
      <c r="AG7" s="5">
        <v>97.86</v>
      </c>
      <c r="AJ7" t="s">
        <v>39</v>
      </c>
      <c r="AK7" s="18">
        <f>AK3/$AK3*SUM($D$24:$F$24)</f>
        <v>2765250362.6626897</v>
      </c>
      <c r="AL7" s="18">
        <f t="shared" ref="AL7:BG9" si="9">AL3/$AK3*SUM($D$24:$F$24)</f>
        <v>2750272408.6150794</v>
      </c>
      <c r="AM7" s="18">
        <f t="shared" si="9"/>
        <v>2704291286.3971086</v>
      </c>
      <c r="AN7" s="18">
        <f t="shared" si="9"/>
        <v>2620500675.7467818</v>
      </c>
      <c r="AO7" s="18">
        <f t="shared" si="9"/>
        <v>2548352046.0915756</v>
      </c>
      <c r="AP7" s="18">
        <f t="shared" si="9"/>
        <v>2478167941.7875896</v>
      </c>
      <c r="AQ7" s="18">
        <f t="shared" si="9"/>
        <v>2425256213.9948454</v>
      </c>
      <c r="AR7" s="18">
        <f t="shared" si="9"/>
        <v>2351505568.4556646</v>
      </c>
      <c r="AS7" s="18">
        <f t="shared" si="9"/>
        <v>2363719296.6061087</v>
      </c>
      <c r="AT7" s="18">
        <f t="shared" si="9"/>
        <v>2373691990.0537148</v>
      </c>
      <c r="AU7" s="18">
        <f t="shared" si="9"/>
        <v>2389031836.1398768</v>
      </c>
      <c r="AV7" s="18">
        <f t="shared" si="9"/>
        <v>2401939986.3401074</v>
      </c>
      <c r="AW7" s="18">
        <f t="shared" si="9"/>
        <v>2416860657.1373863</v>
      </c>
      <c r="AX7" s="18">
        <f t="shared" si="9"/>
        <v>2422537304.0751529</v>
      </c>
      <c r="AY7" s="18">
        <f t="shared" si="9"/>
        <v>2428510248.8768001</v>
      </c>
      <c r="AZ7" s="18">
        <f t="shared" si="9"/>
        <v>2435119737.8764968</v>
      </c>
      <c r="BA7" s="18">
        <f t="shared" si="9"/>
        <v>2444513480.4622631</v>
      </c>
      <c r="BB7" s="18">
        <f t="shared" si="9"/>
        <v>2454711420.6831594</v>
      </c>
      <c r="BC7" s="18">
        <f t="shared" si="9"/>
        <v>2453698250.1448798</v>
      </c>
      <c r="BD7" s="18">
        <f t="shared" si="9"/>
        <v>2454035579.1642857</v>
      </c>
      <c r="BE7" s="18">
        <f t="shared" si="9"/>
        <v>2454023688.4489269</v>
      </c>
      <c r="BF7" s="18">
        <f t="shared" si="9"/>
        <v>2454991801.3333282</v>
      </c>
      <c r="BG7" s="18">
        <f t="shared" si="9"/>
        <v>2456756119.1653347</v>
      </c>
      <c r="BH7" s="14">
        <f>AVERAGE(AK7:BG7)</f>
        <v>2480336430.4460506</v>
      </c>
      <c r="BI7" s="14">
        <f>SUM(AK7:BG7)</f>
        <v>57047737900.259163</v>
      </c>
      <c r="BJ7">
        <v>0</v>
      </c>
    </row>
    <row r="8" spans="1:63" x14ac:dyDescent="0.3">
      <c r="A8" s="1">
        <v>2016</v>
      </c>
      <c r="B8" s="1" t="s">
        <v>2</v>
      </c>
      <c r="C8" s="7">
        <f>37.81</f>
        <v>37.81</v>
      </c>
      <c r="D8" s="7">
        <f>37.81</f>
        <v>37.81</v>
      </c>
      <c r="E8" s="7">
        <f>37.81</f>
        <v>37.81</v>
      </c>
      <c r="F8" s="7">
        <f>37.81</f>
        <v>37.81</v>
      </c>
      <c r="G8" s="3" t="s">
        <v>23</v>
      </c>
      <c r="H8" s="3" t="s">
        <v>14</v>
      </c>
      <c r="J8" t="s">
        <v>34</v>
      </c>
      <c r="K8" s="5">
        <v>98.3</v>
      </c>
      <c r="L8" s="5">
        <f>AVERAGE(K8,M8)</f>
        <v>96.47999999999999</v>
      </c>
      <c r="M8" s="5">
        <v>94.66</v>
      </c>
      <c r="N8" s="5">
        <f>($R8-$M8)/($R$2-$M$2)*(N$2-$M$2)+$M8</f>
        <v>94.429999999999993</v>
      </c>
      <c r="O8" s="5">
        <f t="shared" si="6"/>
        <v>94.2</v>
      </c>
      <c r="P8" s="5">
        <f t="shared" si="6"/>
        <v>93.97</v>
      </c>
      <c r="Q8" s="5">
        <f t="shared" si="6"/>
        <v>93.740000000000009</v>
      </c>
      <c r="R8" s="5">
        <v>93.51</v>
      </c>
      <c r="S8" s="5">
        <f>($W8-$R8)/($W$2-$R$2)*(S$2-$R$2)+$R8</f>
        <v>94.596000000000004</v>
      </c>
      <c r="T8" s="5">
        <f t="shared" si="7"/>
        <v>95.682000000000002</v>
      </c>
      <c r="U8" s="5">
        <f t="shared" si="7"/>
        <v>96.768000000000001</v>
      </c>
      <c r="V8" s="5">
        <f t="shared" si="7"/>
        <v>97.853999999999999</v>
      </c>
      <c r="W8" s="5">
        <v>98.94</v>
      </c>
      <c r="X8" s="5">
        <f>($AG8-$W8)/($AG$2-$W$2)*(X$2-$W$2)+$W8</f>
        <v>98.823999999999998</v>
      </c>
      <c r="Y8" s="5">
        <f t="shared" si="8"/>
        <v>98.707999999999998</v>
      </c>
      <c r="Z8" s="5">
        <f t="shared" si="8"/>
        <v>98.591999999999999</v>
      </c>
      <c r="AA8" s="5">
        <f t="shared" si="8"/>
        <v>98.475999999999999</v>
      </c>
      <c r="AB8" s="5">
        <f t="shared" si="8"/>
        <v>98.36</v>
      </c>
      <c r="AC8" s="5">
        <f t="shared" si="8"/>
        <v>98.244</v>
      </c>
      <c r="AD8" s="5">
        <f t="shared" si="8"/>
        <v>98.128</v>
      </c>
      <c r="AE8" s="5">
        <f t="shared" si="8"/>
        <v>98.012</v>
      </c>
      <c r="AF8" s="5">
        <f t="shared" si="8"/>
        <v>97.896000000000001</v>
      </c>
      <c r="AG8" s="5">
        <v>97.78</v>
      </c>
      <c r="AJ8" t="s">
        <v>66</v>
      </c>
      <c r="AK8" s="18">
        <f t="shared" ref="AK8:AZ9" si="10">AK4/$AK4*SUM($D$24:$F$24)</f>
        <v>2765250362.6626897</v>
      </c>
      <c r="AL8" s="18">
        <f t="shared" si="10"/>
        <v>2714636435.4073224</v>
      </c>
      <c r="AM8" s="18">
        <f t="shared" si="10"/>
        <v>2628346325.779367</v>
      </c>
      <c r="AN8" s="18">
        <f t="shared" si="10"/>
        <v>2507671663.16646</v>
      </c>
      <c r="AO8" s="18">
        <f t="shared" si="10"/>
        <v>2396771811.4754205</v>
      </c>
      <c r="AP8" s="18">
        <f t="shared" si="10"/>
        <v>2286410421.4911361</v>
      </c>
      <c r="AQ8" s="18">
        <f t="shared" si="10"/>
        <v>2189730988.4197173</v>
      </c>
      <c r="AR8" s="18">
        <f t="shared" si="10"/>
        <v>2074051672.4844391</v>
      </c>
      <c r="AS8" s="18">
        <f t="shared" si="10"/>
        <v>2028119452.7603216</v>
      </c>
      <c r="AT8" s="18">
        <f t="shared" si="10"/>
        <v>1975027224.2746181</v>
      </c>
      <c r="AU8" s="18">
        <f t="shared" si="10"/>
        <v>1920352768.2015674</v>
      </c>
      <c r="AV8" s="18">
        <f t="shared" si="10"/>
        <v>1858293624.5933576</v>
      </c>
      <c r="AW8" s="18">
        <f t="shared" si="10"/>
        <v>1792099403.7748823</v>
      </c>
      <c r="AX8" s="18">
        <f t="shared" si="10"/>
        <v>1711354698.9085124</v>
      </c>
      <c r="AY8" s="18">
        <f t="shared" si="10"/>
        <v>1626222525.6818988</v>
      </c>
      <c r="AZ8" s="18">
        <f t="shared" si="10"/>
        <v>1537642482.2443886</v>
      </c>
      <c r="BA8" s="18">
        <f t="shared" si="9"/>
        <v>1447466546.1884902</v>
      </c>
      <c r="BB8" s="18">
        <f t="shared" si="9"/>
        <v>1355848304.5952556</v>
      </c>
      <c r="BC8" s="18">
        <f t="shared" si="9"/>
        <v>1260485585.8876932</v>
      </c>
      <c r="BD8" s="18">
        <f t="shared" si="9"/>
        <v>1167985699.6758857</v>
      </c>
      <c r="BE8" s="18">
        <f t="shared" si="9"/>
        <v>1079489890.7963207</v>
      </c>
      <c r="BF8" s="18">
        <f t="shared" si="9"/>
        <v>996915261.10001421</v>
      </c>
      <c r="BG8" s="18">
        <f t="shared" si="9"/>
        <v>921591688.74754667</v>
      </c>
      <c r="BH8" s="14">
        <f t="shared" ref="BH8:BH9" si="11">AVERAGE(AK8:BG8)</f>
        <v>1836598471.2311873</v>
      </c>
      <c r="BI8" s="14">
        <f t="shared" ref="BI8:BI9" si="12">SUM(AK8:BG8)</f>
        <v>42241764838.317307</v>
      </c>
      <c r="BJ8" s="14">
        <f>BI7-BI8</f>
        <v>14805973061.941856</v>
      </c>
      <c r="BK8" s="14">
        <f>BH7-BH8</f>
        <v>643737959.2148633</v>
      </c>
    </row>
    <row r="9" spans="1:63" x14ac:dyDescent="0.3">
      <c r="B9" s="1" t="s">
        <v>1</v>
      </c>
      <c r="C9" s="7">
        <v>7.35</v>
      </c>
      <c r="D9" s="7">
        <v>6.42</v>
      </c>
      <c r="E9" s="7">
        <v>4.8899999999999997</v>
      </c>
      <c r="F9" s="8">
        <v>12.28</v>
      </c>
      <c r="G9" s="3" t="s">
        <v>4</v>
      </c>
      <c r="H9" s="3" t="s">
        <v>15</v>
      </c>
      <c r="J9" t="s">
        <v>39</v>
      </c>
      <c r="K9" s="5">
        <v>98.3</v>
      </c>
      <c r="L9" s="5">
        <v>98.3</v>
      </c>
      <c r="M9" s="5">
        <v>98.3</v>
      </c>
      <c r="N9" s="5">
        <v>98.3</v>
      </c>
      <c r="O9" s="5">
        <v>98.3</v>
      </c>
      <c r="P9" s="5">
        <v>98.3</v>
      </c>
      <c r="Q9" s="5">
        <v>98.3</v>
      </c>
      <c r="R9" s="5">
        <v>98.3</v>
      </c>
      <c r="S9" s="5">
        <v>98.3</v>
      </c>
      <c r="T9" s="5">
        <v>98.3</v>
      </c>
      <c r="U9" s="5">
        <v>98.3</v>
      </c>
      <c r="V9" s="5">
        <v>98.3</v>
      </c>
      <c r="W9" s="5">
        <v>98.3</v>
      </c>
      <c r="X9" s="5">
        <v>98.3</v>
      </c>
      <c r="Y9" s="5">
        <v>98.3</v>
      </c>
      <c r="Z9" s="5">
        <v>98.3</v>
      </c>
      <c r="AA9" s="5">
        <v>98.3</v>
      </c>
      <c r="AB9" s="5">
        <v>98.3</v>
      </c>
      <c r="AC9" s="5">
        <v>98.3</v>
      </c>
      <c r="AD9" s="5">
        <v>98.3</v>
      </c>
      <c r="AE9" s="5">
        <v>98.3</v>
      </c>
      <c r="AF9" s="5">
        <v>98.3</v>
      </c>
      <c r="AG9" s="5">
        <v>98.3</v>
      </c>
      <c r="AJ9" t="s">
        <v>67</v>
      </c>
      <c r="AK9" s="18">
        <f t="shared" si="10"/>
        <v>2765250362.6626897</v>
      </c>
      <c r="AL9" s="18">
        <f t="shared" si="9"/>
        <v>2711721787.3944812</v>
      </c>
      <c r="AM9" s="18">
        <f t="shared" si="9"/>
        <v>2622690367.9955449</v>
      </c>
      <c r="AN9" s="18">
        <f t="shared" si="9"/>
        <v>2498279673.2520857</v>
      </c>
      <c r="AO9" s="18">
        <f t="shared" si="9"/>
        <v>2383384365.9053741</v>
      </c>
      <c r="AP9" s="18">
        <f t="shared" si="9"/>
        <v>2268752008.4748535</v>
      </c>
      <c r="AQ9" s="18">
        <f t="shared" si="9"/>
        <v>2167526340.0116572</v>
      </c>
      <c r="AR9" s="18">
        <f t="shared" si="9"/>
        <v>2047003500.2650847</v>
      </c>
      <c r="AS9" s="18">
        <f t="shared" si="9"/>
        <v>1995514721.3199818</v>
      </c>
      <c r="AT9" s="18">
        <f t="shared" si="9"/>
        <v>1936434590.1388807</v>
      </c>
      <c r="AU9" s="18">
        <f t="shared" si="9"/>
        <v>1875350186.6143086</v>
      </c>
      <c r="AV9" s="18">
        <f t="shared" si="9"/>
        <v>1806473117.8638573</v>
      </c>
      <c r="AW9" s="18">
        <f t="shared" si="9"/>
        <v>1733085909.4699788</v>
      </c>
      <c r="AX9" s="18">
        <f t="shared" si="9"/>
        <v>1645625336.0339561</v>
      </c>
      <c r="AY9" s="18">
        <f t="shared" si="9"/>
        <v>1553679380.5165269</v>
      </c>
      <c r="AZ9" s="18">
        <f t="shared" si="9"/>
        <v>1458271535.5911627</v>
      </c>
      <c r="BA9" s="18">
        <f t="shared" si="9"/>
        <v>1361351796.3445523</v>
      </c>
      <c r="BB9" s="18">
        <f t="shared" si="9"/>
        <v>1263182216.1329758</v>
      </c>
      <c r="BC9" s="18">
        <f t="shared" si="9"/>
        <v>1161575432.000483</v>
      </c>
      <c r="BD9" s="18">
        <f t="shared" si="9"/>
        <v>1063261220.1658951</v>
      </c>
      <c r="BE9" s="18">
        <f t="shared" si="9"/>
        <v>969495735.4716295</v>
      </c>
      <c r="BF9" s="18">
        <f t="shared" si="9"/>
        <v>882299012.18397951</v>
      </c>
      <c r="BG9" s="18">
        <f t="shared" si="9"/>
        <v>803082527.856475</v>
      </c>
      <c r="BH9" s="14">
        <f t="shared" si="11"/>
        <v>1781447440.1594088</v>
      </c>
      <c r="BI9" s="14">
        <f t="shared" si="12"/>
        <v>40973291123.666405</v>
      </c>
      <c r="BJ9" s="14">
        <f>BI7-BI9</f>
        <v>16074446776.592758</v>
      </c>
      <c r="BK9" s="14">
        <f>BH7-BH9</f>
        <v>698888990.28664184</v>
      </c>
    </row>
    <row r="10" spans="1:63" x14ac:dyDescent="0.3">
      <c r="B10" s="1" t="s">
        <v>0</v>
      </c>
      <c r="C10" s="7">
        <v>42.54</v>
      </c>
      <c r="D10" s="7">
        <v>42.54</v>
      </c>
      <c r="E10" s="7">
        <v>42.54</v>
      </c>
      <c r="F10" s="7">
        <v>42.54</v>
      </c>
      <c r="G10" s="3" t="s">
        <v>20</v>
      </c>
      <c r="H10" s="3" t="s">
        <v>22</v>
      </c>
      <c r="I10" t="s">
        <v>28</v>
      </c>
      <c r="J10" t="s">
        <v>6</v>
      </c>
      <c r="K10" s="14">
        <f>K$7/$K$7*K3</f>
        <v>121.64279099999999</v>
      </c>
      <c r="L10" s="14">
        <f>L$7/$K$7*L3</f>
        <v>119.39060504252286</v>
      </c>
      <c r="M10" s="14">
        <f t="shared" ref="M10:AF10" si="13">M$7/$K$7*M3</f>
        <v>117.13841908504577</v>
      </c>
      <c r="N10" s="14">
        <f t="shared" si="13"/>
        <v>116.92310020779246</v>
      </c>
      <c r="O10" s="14">
        <f t="shared" si="13"/>
        <v>116.70778133053915</v>
      </c>
      <c r="P10" s="14">
        <f t="shared" si="13"/>
        <v>116.49246245328585</v>
      </c>
      <c r="Q10" s="14">
        <f t="shared" si="13"/>
        <v>116.27714357603254</v>
      </c>
      <c r="R10" s="14">
        <f t="shared" si="13"/>
        <v>116.06182469877925</v>
      </c>
      <c r="S10" s="14">
        <f t="shared" si="13"/>
        <v>117.15821852203459</v>
      </c>
      <c r="T10" s="14">
        <f t="shared" si="13"/>
        <v>118.25461234528991</v>
      </c>
      <c r="U10" s="14">
        <f t="shared" si="13"/>
        <v>119.35100616854527</v>
      </c>
      <c r="V10" s="14">
        <f t="shared" si="13"/>
        <v>120.44739999180061</v>
      </c>
      <c r="W10" s="14">
        <f t="shared" si="13"/>
        <v>121.54379381505595</v>
      </c>
      <c r="X10" s="14">
        <f t="shared" si="13"/>
        <v>121.49924508183112</v>
      </c>
      <c r="Y10" s="14">
        <f t="shared" si="13"/>
        <v>121.4546963486063</v>
      </c>
      <c r="Z10" s="14">
        <f t="shared" si="13"/>
        <v>121.41014761538148</v>
      </c>
      <c r="AA10" s="14">
        <f t="shared" si="13"/>
        <v>121.36559888215665</v>
      </c>
      <c r="AB10" s="14">
        <f t="shared" si="13"/>
        <v>121.32105014893183</v>
      </c>
      <c r="AC10" s="14">
        <f t="shared" si="13"/>
        <v>121.27650141570702</v>
      </c>
      <c r="AD10" s="14">
        <f t="shared" si="13"/>
        <v>121.23195268248219</v>
      </c>
      <c r="AE10" s="14">
        <f t="shared" si="13"/>
        <v>121.18740394925737</v>
      </c>
      <c r="AF10" s="14">
        <f t="shared" si="13"/>
        <v>121.14285521603254</v>
      </c>
      <c r="AG10" s="14">
        <f>AG$7/$K$7*AG3</f>
        <v>121.09830648280771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63" x14ac:dyDescent="0.3">
      <c r="B11" s="1" t="s">
        <v>3</v>
      </c>
      <c r="C11" s="9">
        <f>35.65*3.41214</f>
        <v>121.64279099999999</v>
      </c>
      <c r="D11" s="9">
        <f>28.99*3.41214</f>
        <v>98.917938599999999</v>
      </c>
      <c r="E11" s="9">
        <f>21.99*3.41214</f>
        <v>75.032958600000001</v>
      </c>
      <c r="F11" s="9">
        <f>28.62*3.41214</f>
        <v>97.655446800000007</v>
      </c>
      <c r="G11" s="3" t="s">
        <v>24</v>
      </c>
      <c r="H11" s="3" t="s">
        <v>21</v>
      </c>
      <c r="J11" t="s">
        <v>7</v>
      </c>
      <c r="K11" s="14">
        <f t="shared" ref="K11:L13" si="14">K$7/$K$7*K4</f>
        <v>98.917938599999999</v>
      </c>
      <c r="L11" s="14">
        <f t="shared" si="14"/>
        <v>97.086497620834166</v>
      </c>
      <c r="M11" s="14">
        <f t="shared" ref="M11:AG11" si="15">M$7/$K$7*M4</f>
        <v>95.255056641668361</v>
      </c>
      <c r="N11" s="14">
        <f t="shared" si="15"/>
        <v>95.079962833770097</v>
      </c>
      <c r="O11" s="14">
        <f t="shared" si="15"/>
        <v>94.904869025871818</v>
      </c>
      <c r="P11" s="14">
        <f t="shared" si="15"/>
        <v>94.729775217973554</v>
      </c>
      <c r="Q11" s="14">
        <f t="shared" si="15"/>
        <v>94.554681410075275</v>
      </c>
      <c r="R11" s="14">
        <f t="shared" si="15"/>
        <v>94.379587602177025</v>
      </c>
      <c r="S11" s="14">
        <f t="shared" si="15"/>
        <v>95.271157221704996</v>
      </c>
      <c r="T11" s="14">
        <f t="shared" si="15"/>
        <v>96.162726841232953</v>
      </c>
      <c r="U11" s="14">
        <f t="shared" si="15"/>
        <v>97.054296460760938</v>
      </c>
      <c r="V11" s="14">
        <f t="shared" si="15"/>
        <v>97.945866080288909</v>
      </c>
      <c r="W11" s="14">
        <f t="shared" si="15"/>
        <v>98.837435699816893</v>
      </c>
      <c r="X11" s="14">
        <f t="shared" si="15"/>
        <v>98.801209394734485</v>
      </c>
      <c r="Y11" s="14">
        <f t="shared" si="15"/>
        <v>98.764983089652091</v>
      </c>
      <c r="Z11" s="14">
        <f t="shared" si="15"/>
        <v>98.728756784569683</v>
      </c>
      <c r="AA11" s="14">
        <f t="shared" si="15"/>
        <v>98.692530479487274</v>
      </c>
      <c r="AB11" s="14">
        <f t="shared" si="15"/>
        <v>98.65630417440488</v>
      </c>
      <c r="AC11" s="14">
        <f t="shared" si="15"/>
        <v>98.620077869322486</v>
      </c>
      <c r="AD11" s="14">
        <f t="shared" si="15"/>
        <v>98.583851564240078</v>
      </c>
      <c r="AE11" s="14">
        <f t="shared" si="15"/>
        <v>98.547625259157684</v>
      </c>
      <c r="AF11" s="14">
        <f t="shared" si="15"/>
        <v>98.511398954075275</v>
      </c>
      <c r="AG11" s="14">
        <f t="shared" si="15"/>
        <v>98.475172648992881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63" x14ac:dyDescent="0.3">
      <c r="C12" s="3" t="s">
        <v>16</v>
      </c>
      <c r="D12" s="3" t="s">
        <v>17</v>
      </c>
      <c r="E12" s="3" t="s">
        <v>18</v>
      </c>
      <c r="F12" s="3" t="s">
        <v>19</v>
      </c>
      <c r="J12" t="s">
        <v>8</v>
      </c>
      <c r="K12" s="14">
        <f t="shared" si="14"/>
        <v>75.032958600000001</v>
      </c>
      <c r="L12" s="14">
        <f t="shared" si="14"/>
        <v>73.643742072512708</v>
      </c>
      <c r="M12" s="14">
        <f t="shared" ref="M12:AG12" si="16">M$7/$K$7*M5</f>
        <v>72.25452554502543</v>
      </c>
      <c r="N12" s="14">
        <f t="shared" si="16"/>
        <v>72.121710338551381</v>
      </c>
      <c r="O12" s="14">
        <f t="shared" si="16"/>
        <v>71.988895132077317</v>
      </c>
      <c r="P12" s="14">
        <f t="shared" si="16"/>
        <v>71.856079925603268</v>
      </c>
      <c r="Q12" s="14">
        <f t="shared" si="16"/>
        <v>71.72326471912919</v>
      </c>
      <c r="R12" s="14">
        <f t="shared" si="16"/>
        <v>71.590449512655141</v>
      </c>
      <c r="S12" s="14">
        <f t="shared" si="16"/>
        <v>72.266738437574773</v>
      </c>
      <c r="T12" s="14">
        <f t="shared" si="16"/>
        <v>72.943027362494405</v>
      </c>
      <c r="U12" s="14">
        <f t="shared" si="16"/>
        <v>73.619316287414051</v>
      </c>
      <c r="V12" s="14">
        <f t="shared" si="16"/>
        <v>74.295605212333683</v>
      </c>
      <c r="W12" s="14">
        <f t="shared" si="16"/>
        <v>74.971894137253315</v>
      </c>
      <c r="X12" s="14">
        <f t="shared" si="16"/>
        <v>74.944415129017287</v>
      </c>
      <c r="Y12" s="14">
        <f t="shared" si="16"/>
        <v>74.916936120781287</v>
      </c>
      <c r="Z12" s="14">
        <f t="shared" si="16"/>
        <v>74.889457112545273</v>
      </c>
      <c r="AA12" s="14">
        <f t="shared" si="16"/>
        <v>74.861978104309259</v>
      </c>
      <c r="AB12" s="14">
        <f t="shared" si="16"/>
        <v>74.834499096073245</v>
      </c>
      <c r="AC12" s="14">
        <f t="shared" si="16"/>
        <v>74.807020087837245</v>
      </c>
      <c r="AD12" s="14">
        <f t="shared" si="16"/>
        <v>74.779541079601216</v>
      </c>
      <c r="AE12" s="14">
        <f t="shared" si="16"/>
        <v>74.752062071365216</v>
      </c>
      <c r="AF12" s="14">
        <f t="shared" si="16"/>
        <v>74.724583063129202</v>
      </c>
      <c r="AG12" s="14">
        <f t="shared" si="16"/>
        <v>74.697104054893188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63" x14ac:dyDescent="0.3">
      <c r="J13" t="s">
        <v>9</v>
      </c>
      <c r="K13" s="14">
        <f t="shared" si="14"/>
        <v>97.655446800000007</v>
      </c>
      <c r="L13" s="14">
        <f t="shared" si="14"/>
        <v>95.847380541851479</v>
      </c>
      <c r="M13" s="14">
        <f t="shared" ref="M13:AG13" si="17">M$7/$K$7*M6</f>
        <v>94.039314283702964</v>
      </c>
      <c r="N13" s="14">
        <f t="shared" si="17"/>
        <v>93.866455201879972</v>
      </c>
      <c r="O13" s="14">
        <f t="shared" si="17"/>
        <v>93.693596120056966</v>
      </c>
      <c r="P13" s="14">
        <f t="shared" si="17"/>
        <v>93.520737038233989</v>
      </c>
      <c r="Q13" s="14">
        <f t="shared" si="17"/>
        <v>93.347877956410997</v>
      </c>
      <c r="R13" s="14">
        <f t="shared" si="17"/>
        <v>93.175018874588019</v>
      </c>
      <c r="S13" s="14">
        <f t="shared" si="17"/>
        <v>94.055209371686686</v>
      </c>
      <c r="T13" s="14">
        <f t="shared" si="17"/>
        <v>94.935399868785353</v>
      </c>
      <c r="U13" s="14">
        <f t="shared" si="17"/>
        <v>95.815590365884049</v>
      </c>
      <c r="V13" s="14">
        <f t="shared" si="17"/>
        <v>96.695780862982716</v>
      </c>
      <c r="W13" s="14">
        <f t="shared" si="17"/>
        <v>97.575971360081397</v>
      </c>
      <c r="X13" s="14">
        <f t="shared" si="17"/>
        <v>97.540207412118008</v>
      </c>
      <c r="Y13" s="14">
        <f t="shared" si="17"/>
        <v>97.504443464154633</v>
      </c>
      <c r="Z13" s="14">
        <f t="shared" si="17"/>
        <v>97.468679516191258</v>
      </c>
      <c r="AA13" s="14">
        <f t="shared" si="17"/>
        <v>97.43291556822787</v>
      </c>
      <c r="AB13" s="14">
        <f t="shared" si="17"/>
        <v>97.397151620264509</v>
      </c>
      <c r="AC13" s="14">
        <f t="shared" si="17"/>
        <v>97.361387672301134</v>
      </c>
      <c r="AD13" s="14">
        <f t="shared" si="17"/>
        <v>97.325623724337746</v>
      </c>
      <c r="AE13" s="14">
        <f t="shared" si="17"/>
        <v>97.289859776374385</v>
      </c>
      <c r="AF13" s="14">
        <f t="shared" si="17"/>
        <v>97.254095828410996</v>
      </c>
      <c r="AG13" s="14">
        <f t="shared" si="17"/>
        <v>97.218331880447607</v>
      </c>
    </row>
    <row r="14" spans="1:63" x14ac:dyDescent="0.3">
      <c r="A14" s="1">
        <v>2016</v>
      </c>
      <c r="B14" s="1" t="s">
        <v>2</v>
      </c>
      <c r="C14" s="7">
        <f>C8/5.8</f>
        <v>6.5189655172413801</v>
      </c>
      <c r="D14" s="7">
        <f t="shared" ref="D14:F14" si="18">D8/5.8</f>
        <v>6.5189655172413801</v>
      </c>
      <c r="E14" s="7">
        <f t="shared" si="18"/>
        <v>6.5189655172413801</v>
      </c>
      <c r="F14" s="7">
        <f t="shared" si="18"/>
        <v>6.5189655172413801</v>
      </c>
      <c r="G14" s="3" t="s">
        <v>4</v>
      </c>
      <c r="H14" s="3" t="s">
        <v>25</v>
      </c>
    </row>
    <row r="15" spans="1:63" x14ac:dyDescent="0.3">
      <c r="B15" s="1" t="s">
        <v>1</v>
      </c>
      <c r="C15" s="7">
        <v>7.35</v>
      </c>
      <c r="D15" s="7">
        <v>6.42</v>
      </c>
      <c r="E15" s="7">
        <v>4.8899999999999997</v>
      </c>
      <c r="F15" s="8">
        <v>12.28</v>
      </c>
      <c r="G15" s="3" t="s">
        <v>4</v>
      </c>
      <c r="I15" t="s">
        <v>34</v>
      </c>
      <c r="J15" t="s">
        <v>6</v>
      </c>
      <c r="K15" s="14">
        <f>K$8/$K$8*K3</f>
        <v>121.64279099999999</v>
      </c>
      <c r="L15" s="14">
        <f t="shared" ref="L15:AG18" si="19">L$8/$K$8*L3</f>
        <v>119.39060504252286</v>
      </c>
      <c r="M15" s="14">
        <f t="shared" si="19"/>
        <v>117.13841908504577</v>
      </c>
      <c r="N15" s="14">
        <f t="shared" si="19"/>
        <v>116.85380217833162</v>
      </c>
      <c r="O15" s="14">
        <f t="shared" si="19"/>
        <v>116.56918527161749</v>
      </c>
      <c r="P15" s="14">
        <f t="shared" si="19"/>
        <v>116.28456836490335</v>
      </c>
      <c r="Q15" s="14">
        <f t="shared" si="19"/>
        <v>115.99995145818923</v>
      </c>
      <c r="R15" s="14">
        <f t="shared" si="19"/>
        <v>115.71533455147507</v>
      </c>
      <c r="S15" s="14">
        <f t="shared" si="19"/>
        <v>117.05922133709053</v>
      </c>
      <c r="T15" s="14">
        <f t="shared" si="19"/>
        <v>118.403108122706</v>
      </c>
      <c r="U15" s="14">
        <f t="shared" si="19"/>
        <v>119.74699490832147</v>
      </c>
      <c r="V15" s="14">
        <f t="shared" si="19"/>
        <v>121.09088169393692</v>
      </c>
      <c r="W15" s="14">
        <f t="shared" si="19"/>
        <v>122.43476847955237</v>
      </c>
      <c r="X15" s="14">
        <f t="shared" si="19"/>
        <v>122.29122256138352</v>
      </c>
      <c r="Y15" s="14">
        <f t="shared" si="19"/>
        <v>122.14767664321464</v>
      </c>
      <c r="Z15" s="14">
        <f t="shared" si="19"/>
        <v>122.00413072504577</v>
      </c>
      <c r="AA15" s="14">
        <f t="shared" si="19"/>
        <v>121.86058480687689</v>
      </c>
      <c r="AB15" s="14">
        <f t="shared" si="19"/>
        <v>121.71703888870803</v>
      </c>
      <c r="AC15" s="14">
        <f t="shared" si="19"/>
        <v>121.57349297053915</v>
      </c>
      <c r="AD15" s="14">
        <f t="shared" si="19"/>
        <v>121.4299470523703</v>
      </c>
      <c r="AE15" s="14">
        <f t="shared" si="19"/>
        <v>121.28640113420141</v>
      </c>
      <c r="AF15" s="14">
        <f t="shared" si="19"/>
        <v>121.14285521603254</v>
      </c>
      <c r="AG15" s="14">
        <f t="shared" si="19"/>
        <v>120.99930929786368</v>
      </c>
    </row>
    <row r="16" spans="1:63" x14ac:dyDescent="0.3">
      <c r="B16" s="1" t="s">
        <v>0</v>
      </c>
      <c r="C16" s="7">
        <f>C10/19.46</f>
        <v>2.1860226104830418</v>
      </c>
      <c r="D16" s="7">
        <f t="shared" ref="D16:F16" si="20">D10/19.46</f>
        <v>2.1860226104830418</v>
      </c>
      <c r="E16" s="7">
        <f t="shared" si="20"/>
        <v>2.1860226104830418</v>
      </c>
      <c r="F16" s="7">
        <f t="shared" si="20"/>
        <v>2.1860226104830418</v>
      </c>
      <c r="G16" s="3" t="s">
        <v>4</v>
      </c>
      <c r="H16" s="3" t="s">
        <v>26</v>
      </c>
      <c r="J16" t="s">
        <v>7</v>
      </c>
      <c r="K16" s="14">
        <f t="shared" ref="K16:Z18" si="21">K$8/$K$8*K4</f>
        <v>98.917938599999999</v>
      </c>
      <c r="L16" s="14">
        <f t="shared" si="21"/>
        <v>97.086497620834166</v>
      </c>
      <c r="M16" s="14">
        <f t="shared" si="21"/>
        <v>95.255056641668361</v>
      </c>
      <c r="N16" s="14">
        <f t="shared" si="21"/>
        <v>95.023610803641901</v>
      </c>
      <c r="O16" s="14">
        <f t="shared" si="21"/>
        <v>94.79216496561547</v>
      </c>
      <c r="P16" s="14">
        <f t="shared" si="21"/>
        <v>94.56071912758901</v>
      </c>
      <c r="Q16" s="14">
        <f t="shared" si="21"/>
        <v>94.329273289562579</v>
      </c>
      <c r="R16" s="14">
        <f t="shared" si="21"/>
        <v>94.097827451536119</v>
      </c>
      <c r="S16" s="14">
        <f t="shared" si="21"/>
        <v>95.190654321521876</v>
      </c>
      <c r="T16" s="14">
        <f t="shared" si="21"/>
        <v>96.283481191507633</v>
      </c>
      <c r="U16" s="14">
        <f t="shared" si="21"/>
        <v>97.37630806149339</v>
      </c>
      <c r="V16" s="14">
        <f t="shared" si="21"/>
        <v>98.469134931479147</v>
      </c>
      <c r="W16" s="14">
        <f t="shared" si="21"/>
        <v>99.561961801464903</v>
      </c>
      <c r="X16" s="14">
        <f t="shared" si="21"/>
        <v>99.445232596199403</v>
      </c>
      <c r="Y16" s="14">
        <f t="shared" si="21"/>
        <v>99.328503390933875</v>
      </c>
      <c r="Z16" s="14">
        <f t="shared" si="21"/>
        <v>99.211774185668361</v>
      </c>
      <c r="AA16" s="14">
        <f t="shared" si="19"/>
        <v>99.095044980402847</v>
      </c>
      <c r="AB16" s="14">
        <f t="shared" si="19"/>
        <v>98.978315775137332</v>
      </c>
      <c r="AC16" s="14">
        <f t="shared" si="19"/>
        <v>98.861586569871818</v>
      </c>
      <c r="AD16" s="14">
        <f t="shared" si="19"/>
        <v>98.744857364606318</v>
      </c>
      <c r="AE16" s="14">
        <f t="shared" si="19"/>
        <v>98.628128159340804</v>
      </c>
      <c r="AF16" s="14">
        <f t="shared" si="19"/>
        <v>98.511398954075275</v>
      </c>
      <c r="AG16" s="14">
        <f t="shared" si="19"/>
        <v>98.394669748809761</v>
      </c>
    </row>
    <row r="17" spans="1:35" x14ac:dyDescent="0.3">
      <c r="B17" s="1" t="s">
        <v>3</v>
      </c>
      <c r="C17" s="9">
        <f>35.65*3.41214</f>
        <v>121.64279099999999</v>
      </c>
      <c r="D17" s="9">
        <f>28.99*3.41214</f>
        <v>98.917938599999999</v>
      </c>
      <c r="E17" s="9">
        <f>21.99*3.41214</f>
        <v>75.032958600000001</v>
      </c>
      <c r="F17" s="9">
        <f>28.62*3.41214</f>
        <v>97.655446800000007</v>
      </c>
      <c r="G17" s="3" t="s">
        <v>24</v>
      </c>
      <c r="J17" t="s">
        <v>8</v>
      </c>
      <c r="K17" s="14">
        <f t="shared" si="21"/>
        <v>75.032958600000001</v>
      </c>
      <c r="L17" s="14">
        <f t="shared" si="19"/>
        <v>73.643742072512708</v>
      </c>
      <c r="M17" s="14">
        <f t="shared" si="19"/>
        <v>72.25452554502543</v>
      </c>
      <c r="N17" s="14">
        <f t="shared" si="19"/>
        <v>72.078965214628681</v>
      </c>
      <c r="O17" s="14">
        <f t="shared" si="19"/>
        <v>71.903404884231946</v>
      </c>
      <c r="P17" s="14">
        <f t="shared" si="19"/>
        <v>71.727844553835197</v>
      </c>
      <c r="Q17" s="14">
        <f t="shared" si="19"/>
        <v>71.552284223438463</v>
      </c>
      <c r="R17" s="14">
        <f t="shared" si="19"/>
        <v>71.376723893041714</v>
      </c>
      <c r="S17" s="14">
        <f t="shared" si="19"/>
        <v>72.205673974828073</v>
      </c>
      <c r="T17" s="14">
        <f t="shared" si="19"/>
        <v>73.034624056614447</v>
      </c>
      <c r="U17" s="14">
        <f t="shared" si="19"/>
        <v>73.863574138400821</v>
      </c>
      <c r="V17" s="14">
        <f t="shared" si="19"/>
        <v>74.692524220187181</v>
      </c>
      <c r="W17" s="14">
        <f t="shared" si="19"/>
        <v>75.521474301973555</v>
      </c>
      <c r="X17" s="14">
        <f t="shared" si="19"/>
        <v>75.432930830990855</v>
      </c>
      <c r="Y17" s="14">
        <f t="shared" si="19"/>
        <v>75.344387360008142</v>
      </c>
      <c r="Z17" s="14">
        <f t="shared" si="19"/>
        <v>75.255843889025442</v>
      </c>
      <c r="AA17" s="14">
        <f t="shared" si="19"/>
        <v>75.167300418042714</v>
      </c>
      <c r="AB17" s="14">
        <f t="shared" si="19"/>
        <v>75.078756947060015</v>
      </c>
      <c r="AC17" s="14">
        <f t="shared" si="19"/>
        <v>74.990213476077315</v>
      </c>
      <c r="AD17" s="14">
        <f t="shared" si="19"/>
        <v>74.901670005094616</v>
      </c>
      <c r="AE17" s="14">
        <f t="shared" si="19"/>
        <v>74.813126534111902</v>
      </c>
      <c r="AF17" s="14">
        <f t="shared" si="19"/>
        <v>74.724583063129202</v>
      </c>
      <c r="AG17" s="14">
        <f t="shared" si="19"/>
        <v>74.636039592146489</v>
      </c>
    </row>
    <row r="18" spans="1:35" x14ac:dyDescent="0.3">
      <c r="C18" s="3" t="s">
        <v>16</v>
      </c>
      <c r="D18" s="3" t="s">
        <v>17</v>
      </c>
      <c r="E18" s="3" t="s">
        <v>18</v>
      </c>
      <c r="F18" s="3" t="s">
        <v>19</v>
      </c>
      <c r="J18" t="s">
        <v>9</v>
      </c>
      <c r="K18" s="14">
        <f t="shared" si="21"/>
        <v>97.655446800000007</v>
      </c>
      <c r="L18" s="14">
        <f t="shared" si="19"/>
        <v>95.847380541851479</v>
      </c>
      <c r="M18" s="14">
        <f t="shared" si="19"/>
        <v>94.039314283702964</v>
      </c>
      <c r="N18" s="14">
        <f t="shared" si="19"/>
        <v>93.810822393936931</v>
      </c>
      <c r="O18" s="14">
        <f t="shared" si="19"/>
        <v>93.582330504170912</v>
      </c>
      <c r="P18" s="14">
        <f t="shared" si="19"/>
        <v>93.353838614404893</v>
      </c>
      <c r="Q18" s="14">
        <f t="shared" si="19"/>
        <v>93.125346724638888</v>
      </c>
      <c r="R18" s="14">
        <f t="shared" si="19"/>
        <v>92.896854834872855</v>
      </c>
      <c r="S18" s="14">
        <f t="shared" si="19"/>
        <v>93.975733931768062</v>
      </c>
      <c r="T18" s="14">
        <f t="shared" si="19"/>
        <v>95.054613028663297</v>
      </c>
      <c r="U18" s="14">
        <f t="shared" si="19"/>
        <v>96.133492125558504</v>
      </c>
      <c r="V18" s="14">
        <f t="shared" si="19"/>
        <v>97.212371222453726</v>
      </c>
      <c r="W18" s="14">
        <f t="shared" si="19"/>
        <v>98.291250319348947</v>
      </c>
      <c r="X18" s="14">
        <f t="shared" si="19"/>
        <v>98.176010931466962</v>
      </c>
      <c r="Y18" s="14">
        <f t="shared" si="19"/>
        <v>98.060771543584949</v>
      </c>
      <c r="Z18" s="14">
        <f t="shared" si="19"/>
        <v>97.945532155702963</v>
      </c>
      <c r="AA18" s="14">
        <f t="shared" si="19"/>
        <v>97.83029276782095</v>
      </c>
      <c r="AB18" s="14">
        <f t="shared" si="19"/>
        <v>97.715053379938965</v>
      </c>
      <c r="AC18" s="14">
        <f t="shared" si="19"/>
        <v>97.59981399205698</v>
      </c>
      <c r="AD18" s="14">
        <f t="shared" si="19"/>
        <v>97.484574604174995</v>
      </c>
      <c r="AE18" s="14">
        <f t="shared" si="19"/>
        <v>97.369335216292995</v>
      </c>
      <c r="AF18" s="14">
        <f t="shared" si="19"/>
        <v>97.254095828410996</v>
      </c>
      <c r="AG18" s="14">
        <f t="shared" si="19"/>
        <v>97.138856440528997</v>
      </c>
    </row>
    <row r="20" spans="1:35" x14ac:dyDescent="0.3">
      <c r="B20" s="3" t="s">
        <v>27</v>
      </c>
      <c r="C20" s="1" t="s">
        <v>0</v>
      </c>
      <c r="D20" s="1" t="s">
        <v>1</v>
      </c>
      <c r="E20" s="1" t="s">
        <v>2</v>
      </c>
      <c r="F20" s="1" t="s">
        <v>3</v>
      </c>
      <c r="J20" t="s">
        <v>53</v>
      </c>
      <c r="K20">
        <v>3.75</v>
      </c>
      <c r="L20" s="15">
        <f>($AG$20-$K$20)/($AG$2-$K$2)*(L2-$K$2)+$K$20</f>
        <v>3.8068181818181817</v>
      </c>
      <c r="M20" s="15">
        <f t="shared" ref="M20:AF20" si="22">($AG$20-$K$20)/($AG$2-$K$2)*(M2-$K$2)+$K$20</f>
        <v>3.8636363636363638</v>
      </c>
      <c r="N20" s="15">
        <f t="shared" si="22"/>
        <v>3.9204545454545454</v>
      </c>
      <c r="O20" s="15">
        <f t="shared" si="22"/>
        <v>3.9772727272727271</v>
      </c>
      <c r="P20" s="15">
        <f t="shared" si="22"/>
        <v>4.0340909090909092</v>
      </c>
      <c r="Q20" s="15">
        <f t="shared" si="22"/>
        <v>4.0909090909090908</v>
      </c>
      <c r="R20" s="15">
        <f t="shared" si="22"/>
        <v>4.1477272727272725</v>
      </c>
      <c r="S20" s="15">
        <f t="shared" si="22"/>
        <v>4.2045454545454541</v>
      </c>
      <c r="T20" s="15">
        <f t="shared" si="22"/>
        <v>4.2613636363636367</v>
      </c>
      <c r="U20" s="15">
        <f t="shared" si="22"/>
        <v>4.3181818181818183</v>
      </c>
      <c r="V20" s="15">
        <f t="shared" si="22"/>
        <v>4.375</v>
      </c>
      <c r="W20" s="15">
        <f t="shared" si="22"/>
        <v>4.4318181818181817</v>
      </c>
      <c r="X20" s="15">
        <f t="shared" si="22"/>
        <v>4.4886363636363633</v>
      </c>
      <c r="Y20" s="15">
        <f t="shared" si="22"/>
        <v>4.545454545454545</v>
      </c>
      <c r="Z20" s="15">
        <f t="shared" si="22"/>
        <v>4.6022727272727275</v>
      </c>
      <c r="AA20" s="15">
        <f t="shared" si="22"/>
        <v>4.6590909090909092</v>
      </c>
      <c r="AB20" s="15">
        <f t="shared" si="22"/>
        <v>4.7159090909090908</v>
      </c>
      <c r="AC20" s="15">
        <f t="shared" si="22"/>
        <v>4.7727272727272725</v>
      </c>
      <c r="AD20" s="15">
        <f t="shared" si="22"/>
        <v>4.829545454545455</v>
      </c>
      <c r="AE20" s="15">
        <f t="shared" si="22"/>
        <v>4.8863636363636367</v>
      </c>
      <c r="AF20" s="15">
        <f t="shared" si="22"/>
        <v>4.9431818181818183</v>
      </c>
      <c r="AG20">
        <v>5</v>
      </c>
      <c r="AI20" t="s">
        <v>63</v>
      </c>
    </row>
    <row r="21" spans="1:35" x14ac:dyDescent="0.3">
      <c r="B21" s="1" t="s">
        <v>6</v>
      </c>
      <c r="C21" s="10">
        <f>C3*C16</f>
        <v>0</v>
      </c>
      <c r="D21" s="7">
        <f>D3*C15</f>
        <v>948150000</v>
      </c>
      <c r="E21" s="10">
        <f>E3*C14</f>
        <v>73012413.793103456</v>
      </c>
      <c r="F21" s="10">
        <f>F3*C17</f>
        <v>2291020325.6939998</v>
      </c>
      <c r="G21" s="10">
        <f>SUM(C21:F21)</f>
        <v>3312182739.4871035</v>
      </c>
      <c r="I21" t="s">
        <v>39</v>
      </c>
      <c r="J21" t="s">
        <v>54</v>
      </c>
      <c r="K21" s="14">
        <v>965.90509666080857</v>
      </c>
      <c r="L21" s="14">
        <v>960.67328027720725</v>
      </c>
      <c r="M21" s="14">
        <v>944.61202199108391</v>
      </c>
      <c r="N21" s="14">
        <v>915.34386639393938</v>
      </c>
      <c r="O21" s="14">
        <v>890.14226799908283</v>
      </c>
      <c r="P21" s="14">
        <v>865.62688054370722</v>
      </c>
      <c r="Q21" s="14">
        <v>847.14475384797856</v>
      </c>
      <c r="R21" s="14">
        <v>821.38356948284013</v>
      </c>
      <c r="S21" s="14">
        <v>825.64983861674375</v>
      </c>
      <c r="T21" s="14">
        <v>829.13331178016574</v>
      </c>
      <c r="U21" s="14">
        <v>834.49153746442141</v>
      </c>
      <c r="V21" s="14">
        <v>839.00036901009764</v>
      </c>
      <c r="W21" s="14">
        <v>844.21217628920851</v>
      </c>
      <c r="X21" s="14">
        <v>846.19503552075128</v>
      </c>
      <c r="Y21" s="14">
        <v>848.28139193313405</v>
      </c>
      <c r="Z21" s="14">
        <v>850.59009395785165</v>
      </c>
      <c r="AA21" s="14">
        <v>853.87133892677889</v>
      </c>
      <c r="AB21" s="14">
        <v>857.43349104428955</v>
      </c>
      <c r="AC21" s="14">
        <v>857.07958942296648</v>
      </c>
      <c r="AD21" s="14">
        <v>857.19741883309689</v>
      </c>
      <c r="AE21" s="14">
        <v>857.19326539269855</v>
      </c>
      <c r="AF21" s="14">
        <v>857.53142832427693</v>
      </c>
      <c r="AG21" s="14">
        <v>858.14770654959602</v>
      </c>
      <c r="AH21" s="14">
        <f>AVERAGE(K21:AG21)</f>
        <v>866.38433609837955</v>
      </c>
    </row>
    <row r="22" spans="1:35" x14ac:dyDescent="0.3">
      <c r="B22" s="1" t="s">
        <v>7</v>
      </c>
      <c r="C22" s="10">
        <f>C4*D16</f>
        <v>0</v>
      </c>
      <c r="D22" s="10">
        <f>D4*D15</f>
        <v>368508000</v>
      </c>
      <c r="E22" s="10">
        <f>E4*D14</f>
        <v>83442758.62068966</v>
      </c>
      <c r="F22" s="10">
        <f>F4*D17</f>
        <v>2057493122.8799999</v>
      </c>
      <c r="G22" s="10">
        <f t="shared" ref="G22:G24" si="23">SUM(C22:F22)</f>
        <v>2509443881.5006895</v>
      </c>
      <c r="I22" t="s">
        <v>34</v>
      </c>
      <c r="J22" t="s">
        <v>54</v>
      </c>
      <c r="K22" s="14">
        <f>K15/1000*10000/K20</f>
        <v>324.38077599999997</v>
      </c>
      <c r="L22" s="14">
        <f t="shared" ref="L22:AG22" si="24">L15/1000*10000/L20</f>
        <v>313.62308190274666</v>
      </c>
      <c r="M22" s="14">
        <f t="shared" si="24"/>
        <v>303.18179057305963</v>
      </c>
      <c r="N22" s="14">
        <f t="shared" si="24"/>
        <v>298.06187222299081</v>
      </c>
      <c r="O22" s="14">
        <f t="shared" si="24"/>
        <v>293.08823725435258</v>
      </c>
      <c r="P22" s="14">
        <f t="shared" si="24"/>
        <v>288.254704679197</v>
      </c>
      <c r="Q22" s="14">
        <f t="shared" si="24"/>
        <v>283.55543689779591</v>
      </c>
      <c r="R22" s="14">
        <f t="shared" si="24"/>
        <v>278.9849161788988</v>
      </c>
      <c r="S22" s="14">
        <f t="shared" si="24"/>
        <v>278.41112101794511</v>
      </c>
      <c r="T22" s="14">
        <f t="shared" si="24"/>
        <v>277.85262706128339</v>
      </c>
      <c r="U22" s="14">
        <f t="shared" si="24"/>
        <v>277.30883031400759</v>
      </c>
      <c r="V22" s="14">
        <f t="shared" si="24"/>
        <v>276.77915815757012</v>
      </c>
      <c r="W22" s="14">
        <f t="shared" si="24"/>
        <v>276.26306733847719</v>
      </c>
      <c r="X22" s="14">
        <f t="shared" si="24"/>
        <v>272.44626798485439</v>
      </c>
      <c r="Y22" s="14">
        <f t="shared" si="24"/>
        <v>268.72488861507225</v>
      </c>
      <c r="Z22" s="14">
        <f t="shared" si="24"/>
        <v>265.09539515565501</v>
      </c>
      <c r="AA22" s="14">
        <f t="shared" si="24"/>
        <v>261.55442592695528</v>
      </c>
      <c r="AB22" s="14">
        <f t="shared" si="24"/>
        <v>258.09878125798332</v>
      </c>
      <c r="AC22" s="14">
        <f t="shared" si="24"/>
        <v>254.72541384303443</v>
      </c>
      <c r="AD22" s="14">
        <f t="shared" si="24"/>
        <v>251.4314197790255</v>
      </c>
      <c r="AE22" s="14">
        <f t="shared" si="24"/>
        <v>248.21403022813314</v>
      </c>
      <c r="AF22" s="14">
        <f t="shared" si="24"/>
        <v>245.07060365542219</v>
      </c>
      <c r="AG22" s="14">
        <f t="shared" si="24"/>
        <v>241.99861859572735</v>
      </c>
      <c r="AH22" s="14">
        <f t="shared" ref="AH22:AH23" si="25">AVERAGE(K22:AG22)</f>
        <v>275.52632454957336</v>
      </c>
      <c r="AI22" s="19">
        <f>AH21-AH22</f>
        <v>590.85801154880619</v>
      </c>
    </row>
    <row r="23" spans="1:35" x14ac:dyDescent="0.3">
      <c r="B23" s="1" t="s">
        <v>8</v>
      </c>
      <c r="C23" s="10">
        <f>C5*E16</f>
        <v>14427749.229188075</v>
      </c>
      <c r="D23" s="10">
        <f>D5*E15</f>
        <v>1003916999.9999999</v>
      </c>
      <c r="E23" s="10">
        <f>E5*E14</f>
        <v>386574655.17241383</v>
      </c>
      <c r="F23" s="10">
        <f>F5*E17</f>
        <v>1133222773.7358</v>
      </c>
      <c r="G23" s="10">
        <f t="shared" si="23"/>
        <v>2538142178.1374016</v>
      </c>
      <c r="I23" t="s">
        <v>55</v>
      </c>
      <c r="J23" t="s">
        <v>54</v>
      </c>
      <c r="K23" s="14">
        <f>K18/1000*10000/K20</f>
        <v>260.41452480000004</v>
      </c>
      <c r="L23" s="14">
        <f t="shared" ref="L23:AG23" si="26">L18/1000*10000/L20</f>
        <v>251.77819366217702</v>
      </c>
      <c r="M23" s="14">
        <f t="shared" si="26"/>
        <v>243.39587226370176</v>
      </c>
      <c r="N23" s="14">
        <f t="shared" si="26"/>
        <v>239.28557596134638</v>
      </c>
      <c r="O23" s="14">
        <f t="shared" si="26"/>
        <v>235.29271669620118</v>
      </c>
      <c r="P23" s="14">
        <f t="shared" si="26"/>
        <v>231.41233233993327</v>
      </c>
      <c r="Q23" s="14">
        <f t="shared" si="26"/>
        <v>227.6397364380062</v>
      </c>
      <c r="R23" s="14">
        <f t="shared" si="26"/>
        <v>223.97049932791265</v>
      </c>
      <c r="S23" s="14">
        <f t="shared" si="26"/>
        <v>223.50985367555649</v>
      </c>
      <c r="T23" s="14">
        <f t="shared" si="26"/>
        <v>223.06149190726319</v>
      </c>
      <c r="U23" s="14">
        <f t="shared" si="26"/>
        <v>222.62492913287232</v>
      </c>
      <c r="V23" s="14">
        <f t="shared" si="26"/>
        <v>222.1997056513228</v>
      </c>
      <c r="W23" s="14">
        <f t="shared" si="26"/>
        <v>221.78538533596685</v>
      </c>
      <c r="X23" s="14">
        <f t="shared" si="26"/>
        <v>218.72123954352136</v>
      </c>
      <c r="Y23" s="14">
        <f t="shared" si="26"/>
        <v>215.73369739588691</v>
      </c>
      <c r="Z23" s="14">
        <f t="shared" si="26"/>
        <v>212.81992172103358</v>
      </c>
      <c r="AA23" s="14">
        <f t="shared" si="26"/>
        <v>209.9772137455669</v>
      </c>
      <c r="AB23" s="14">
        <f t="shared" si="26"/>
        <v>207.20300475746095</v>
      </c>
      <c r="AC23" s="14">
        <f t="shared" si="26"/>
        <v>204.49484836430989</v>
      </c>
      <c r="AD23" s="14">
        <f t="shared" si="26"/>
        <v>201.85041329805645</v>
      </c>
      <c r="AE23" s="14">
        <f t="shared" si="26"/>
        <v>199.26747672171589</v>
      </c>
      <c r="AF23" s="14">
        <f t="shared" si="26"/>
        <v>196.74391799770498</v>
      </c>
      <c r="AG23" s="14">
        <f t="shared" si="26"/>
        <v>194.27771288105799</v>
      </c>
      <c r="AH23" s="14">
        <f t="shared" si="25"/>
        <v>221.19392450515537</v>
      </c>
      <c r="AI23" s="19">
        <f>AH21-AH23</f>
        <v>645.19041159322421</v>
      </c>
    </row>
    <row r="24" spans="1:35" x14ac:dyDescent="0.3">
      <c r="B24" s="1" t="s">
        <v>9</v>
      </c>
      <c r="C24" s="10">
        <f>C6*F16</f>
        <v>0</v>
      </c>
      <c r="D24" s="10">
        <f>D6*F15</f>
        <v>104380000</v>
      </c>
      <c r="E24" s="10">
        <f>E6*F14</f>
        <v>2654522758.6206899</v>
      </c>
      <c r="F24" s="10">
        <f>F6*F17</f>
        <v>6347604.0420000004</v>
      </c>
      <c r="G24" s="10">
        <f t="shared" si="23"/>
        <v>2765250362.6626897</v>
      </c>
    </row>
    <row r="25" spans="1:35" x14ac:dyDescent="0.3">
      <c r="C25" s="10">
        <f>SUM(C21:C24)</f>
        <v>14427749.229188075</v>
      </c>
      <c r="D25" s="10">
        <f t="shared" ref="D25:F25" si="27">SUM(D21:D24)</f>
        <v>2424955000</v>
      </c>
      <c r="E25" s="10">
        <f t="shared" si="27"/>
        <v>3197552586.2068968</v>
      </c>
      <c r="F25" s="10">
        <f t="shared" si="27"/>
        <v>5488083826.351799</v>
      </c>
      <c r="K25">
        <v>2018</v>
      </c>
      <c r="L25">
        <v>2019</v>
      </c>
      <c r="M25">
        <v>2020</v>
      </c>
      <c r="N25">
        <v>2021</v>
      </c>
      <c r="O25">
        <v>2022</v>
      </c>
      <c r="P25">
        <v>2023</v>
      </c>
      <c r="Q25">
        <v>2024</v>
      </c>
      <c r="R25">
        <v>2025</v>
      </c>
      <c r="S25">
        <v>2026</v>
      </c>
      <c r="T25">
        <v>2027</v>
      </c>
      <c r="U25">
        <v>2028</v>
      </c>
      <c r="V25">
        <v>2029</v>
      </c>
      <c r="W25">
        <v>2030</v>
      </c>
      <c r="X25">
        <v>2031</v>
      </c>
      <c r="Y25">
        <v>2032</v>
      </c>
      <c r="Z25">
        <v>2033</v>
      </c>
      <c r="AA25">
        <v>2034</v>
      </c>
      <c r="AB25">
        <v>2035</v>
      </c>
      <c r="AC25">
        <v>2036</v>
      </c>
      <c r="AD25">
        <v>2037</v>
      </c>
      <c r="AE25">
        <v>2038</v>
      </c>
      <c r="AF25">
        <v>2039</v>
      </c>
      <c r="AG25">
        <v>2040</v>
      </c>
    </row>
    <row r="26" spans="1:35" x14ac:dyDescent="0.3">
      <c r="J26" t="s">
        <v>64</v>
      </c>
      <c r="K26" s="22">
        <v>8.776524980680692E-3</v>
      </c>
      <c r="L26" s="22">
        <v>2.5357161252025074E-2</v>
      </c>
      <c r="M26" s="22">
        <v>4.1937797523369458E-2</v>
      </c>
      <c r="N26" s="22">
        <v>6.4422273575131528E-2</v>
      </c>
      <c r="O26" s="22">
        <v>8.9249607375881945E-2</v>
      </c>
      <c r="P26" s="22">
        <v>0.11657154766422884</v>
      </c>
      <c r="Q26" s="22">
        <v>0.14652437988488609</v>
      </c>
      <c r="R26" s="22">
        <v>0.17922041629513197</v>
      </c>
      <c r="S26" s="22">
        <v>0.21473781826715377</v>
      </c>
      <c r="T26" s="22">
        <v>0.25310876375999214</v>
      </c>
      <c r="U26" s="22">
        <v>0.29430615301910934</v>
      </c>
      <c r="V26" s="22">
        <v>0.33822926078856119</v>
      </c>
      <c r="W26" s="22">
        <v>0.38468905651783769</v>
      </c>
      <c r="X26" s="22">
        <v>0.43339428969160898</v>
      </c>
      <c r="Y26" s="22">
        <v>0.48393986384321719</v>
      </c>
      <c r="Z26" s="22">
        <v>0.53579947627773583</v>
      </c>
      <c r="AA26" s="22">
        <v>0.58832487622457086</v>
      </c>
      <c r="AB26" s="22">
        <v>0.64075430890058194</v>
      </c>
      <c r="AC26" s="22">
        <v>0.69223258274860811</v>
      </c>
      <c r="AD26" s="22">
        <v>0.74184457767966028</v>
      </c>
      <c r="AE26" s="22">
        <v>0.788662707906572</v>
      </c>
      <c r="AF26" s="22">
        <v>0.8318068095332829</v>
      </c>
      <c r="AG26" s="22">
        <v>0.87051219790858592</v>
      </c>
    </row>
    <row r="27" spans="1:35" x14ac:dyDescent="0.3">
      <c r="J27" t="s">
        <v>65</v>
      </c>
      <c r="K27" s="22">
        <v>0.99664682464975507</v>
      </c>
      <c r="L27" s="22">
        <v>0.97836411480530416</v>
      </c>
      <c r="M27" s="22">
        <v>0.95806220247663054</v>
      </c>
      <c r="N27" s="22">
        <v>0.93557772642486847</v>
      </c>
      <c r="O27" s="22">
        <v>0.91075039262411805</v>
      </c>
      <c r="P27" s="22">
        <v>0.88342845233577116</v>
      </c>
      <c r="Q27" s="22">
        <v>0.85347562011511391</v>
      </c>
      <c r="R27" s="22">
        <v>0.82077958370486803</v>
      </c>
      <c r="S27" s="22">
        <v>0.78526218173284623</v>
      </c>
      <c r="T27" s="22">
        <v>0.74689123624000786</v>
      </c>
      <c r="U27" s="22">
        <v>0.70569384698089066</v>
      </c>
      <c r="V27" s="22">
        <v>0.66177073921143881</v>
      </c>
      <c r="W27" s="22">
        <v>0.61531094348216231</v>
      </c>
      <c r="X27" s="22">
        <v>0.56660571030839102</v>
      </c>
      <c r="Y27" s="22">
        <v>0.51606013615678281</v>
      </c>
      <c r="Z27" s="22">
        <v>0.46420052372226417</v>
      </c>
      <c r="AA27" s="22">
        <v>0.41167512377542914</v>
      </c>
      <c r="AB27" s="22">
        <v>0.35924569109941806</v>
      </c>
      <c r="AC27" s="22">
        <v>0.30776741725139189</v>
      </c>
      <c r="AD27" s="22">
        <v>0.25815542232033972</v>
      </c>
      <c r="AE27" s="22">
        <v>0.211337292093428</v>
      </c>
      <c r="AF27" s="22">
        <v>0.1681931904667171</v>
      </c>
      <c r="AG27" s="22">
        <v>0.12948780209141408</v>
      </c>
    </row>
    <row r="28" spans="1:35" x14ac:dyDescent="0.3">
      <c r="B28" s="3" t="s">
        <v>42</v>
      </c>
      <c r="C28" s="3" t="s">
        <v>45</v>
      </c>
      <c r="D28" s="3" t="s">
        <v>46</v>
      </c>
      <c r="E28" s="3" t="s">
        <v>43</v>
      </c>
      <c r="J28" t="s">
        <v>39</v>
      </c>
      <c r="K28" s="14">
        <f>K21</f>
        <v>965.90509666080857</v>
      </c>
      <c r="L28" s="14">
        <f t="shared" ref="L28:AG28" si="28">L21</f>
        <v>960.67328027720725</v>
      </c>
      <c r="M28" s="14">
        <f t="shared" si="28"/>
        <v>944.61202199108391</v>
      </c>
      <c r="N28" s="14">
        <f t="shared" si="28"/>
        <v>915.34386639393938</v>
      </c>
      <c r="O28" s="14">
        <f t="shared" si="28"/>
        <v>890.14226799908283</v>
      </c>
      <c r="P28" s="14">
        <f t="shared" si="28"/>
        <v>865.62688054370722</v>
      </c>
      <c r="Q28" s="14">
        <f t="shared" si="28"/>
        <v>847.14475384797856</v>
      </c>
      <c r="R28" s="14">
        <f t="shared" si="28"/>
        <v>821.38356948284013</v>
      </c>
      <c r="S28" s="14">
        <f t="shared" si="28"/>
        <v>825.64983861674375</v>
      </c>
      <c r="T28" s="14">
        <f t="shared" si="28"/>
        <v>829.13331178016574</v>
      </c>
      <c r="U28" s="14">
        <f t="shared" si="28"/>
        <v>834.49153746442141</v>
      </c>
      <c r="V28" s="14">
        <f t="shared" si="28"/>
        <v>839.00036901009764</v>
      </c>
      <c r="W28" s="14">
        <f t="shared" si="28"/>
        <v>844.21217628920851</v>
      </c>
      <c r="X28" s="14">
        <f t="shared" si="28"/>
        <v>846.19503552075128</v>
      </c>
      <c r="Y28" s="14">
        <f t="shared" si="28"/>
        <v>848.28139193313405</v>
      </c>
      <c r="Z28" s="14">
        <f t="shared" si="28"/>
        <v>850.59009395785165</v>
      </c>
      <c r="AA28" s="14">
        <f t="shared" si="28"/>
        <v>853.87133892677889</v>
      </c>
      <c r="AB28" s="14">
        <f t="shared" si="28"/>
        <v>857.43349104428955</v>
      </c>
      <c r="AC28" s="14">
        <f t="shared" si="28"/>
        <v>857.07958942296648</v>
      </c>
      <c r="AD28" s="14">
        <f t="shared" si="28"/>
        <v>857.19741883309689</v>
      </c>
      <c r="AE28" s="14">
        <f t="shared" si="28"/>
        <v>857.19326539269855</v>
      </c>
      <c r="AF28" s="14">
        <f t="shared" si="28"/>
        <v>857.53142832427693</v>
      </c>
      <c r="AG28" s="14">
        <f t="shared" si="28"/>
        <v>858.14770654959602</v>
      </c>
      <c r="AH28" s="14"/>
    </row>
    <row r="29" spans="1:35" x14ac:dyDescent="0.3">
      <c r="A29" s="7">
        <f>2.89</f>
        <v>2.89</v>
      </c>
      <c r="B29" s="12">
        <v>2018</v>
      </c>
      <c r="C29" s="7">
        <f>2.81</f>
        <v>2.81</v>
      </c>
      <c r="D29" s="7">
        <v>2.7480000000000002</v>
      </c>
      <c r="E29" s="3" t="s">
        <v>44</v>
      </c>
      <c r="J29" t="s">
        <v>56</v>
      </c>
      <c r="K29" s="14">
        <f>K26*K22+K27*K21</f>
        <v>965.5131834838262</v>
      </c>
      <c r="L29" s="14">
        <f t="shared" ref="L29:AG29" si="29">L26*L22+L27*L21</f>
        <v>947.84085453568275</v>
      </c>
      <c r="M29" s="14">
        <f t="shared" si="29"/>
        <v>917.71185082050681</v>
      </c>
      <c r="N29" s="14">
        <f t="shared" si="29"/>
        <v>875.57715689245572</v>
      </c>
      <c r="O29" s="14">
        <f t="shared" si="29"/>
        <v>836.85543017292787</v>
      </c>
      <c r="P29" s="14">
        <f t="shared" si="29"/>
        <v>798.32171242491791</v>
      </c>
      <c r="Q29" s="14">
        <f t="shared" si="29"/>
        <v>764.56517867210653</v>
      </c>
      <c r="R29" s="14">
        <f t="shared" si="29"/>
        <v>724.17465703978883</v>
      </c>
      <c r="S29" s="14">
        <f t="shared" si="29"/>
        <v>708.13699032826264</v>
      </c>
      <c r="T29" s="14">
        <f t="shared" si="29"/>
        <v>689.59933918620743</v>
      </c>
      <c r="U29" s="14">
        <f t="shared" si="29"/>
        <v>670.50923839421023</v>
      </c>
      <c r="V29" s="14">
        <f t="shared" si="29"/>
        <v>648.84070446379746</v>
      </c>
      <c r="W29" s="14">
        <f t="shared" si="29"/>
        <v>625.72836941680509</v>
      </c>
      <c r="X29" s="14">
        <f t="shared" si="29"/>
        <v>597.53559595309514</v>
      </c>
      <c r="Y29" s="14">
        <f t="shared" si="29"/>
        <v>567.81089662794011</v>
      </c>
      <c r="Z29" s="14">
        <f t="shared" si="29"/>
        <v>536.882340976244</v>
      </c>
      <c r="AA29" s="14">
        <f t="shared" si="29"/>
        <v>505.39656440043774</v>
      </c>
      <c r="AB29" s="14">
        <f t="shared" si="29"/>
        <v>473.40719327503405</v>
      </c>
      <c r="AC29" s="14">
        <f t="shared" si="29"/>
        <v>440.11040273186154</v>
      </c>
      <c r="AD29" s="14">
        <f t="shared" si="29"/>
        <v>407.81319709213182</v>
      </c>
      <c r="AE29" s="14">
        <f t="shared" si="29"/>
        <v>376.91405272893928</v>
      </c>
      <c r="AF29" s="14">
        <f t="shared" si="29"/>
        <v>348.08234379235353</v>
      </c>
      <c r="AG29" s="14">
        <f t="shared" si="29"/>
        <v>321.78240975550318</v>
      </c>
      <c r="AH29" s="14"/>
    </row>
    <row r="30" spans="1:35" x14ac:dyDescent="0.3">
      <c r="A30" s="7">
        <v>2.94</v>
      </c>
      <c r="B30" s="13">
        <v>2020</v>
      </c>
      <c r="C30" s="7">
        <f>A30/A$29*C$29</f>
        <v>2.8586159169550176</v>
      </c>
      <c r="D30" s="7">
        <f>A30/A$29*D$29</f>
        <v>2.7955432525951562</v>
      </c>
      <c r="F30" s="7">
        <v>2.8130000000000002</v>
      </c>
      <c r="G30" s="7">
        <v>2.7480000000000002</v>
      </c>
      <c r="J30" t="s">
        <v>57</v>
      </c>
      <c r="K30" s="14">
        <f>K23*K26+K27*K21</f>
        <v>964.95178208224888</v>
      </c>
      <c r="L30" s="14">
        <f t="shared" ref="L30:AG30" si="30">L23*L26+L27*L21</f>
        <v>946.27264373195317</v>
      </c>
      <c r="M30" s="14">
        <f t="shared" si="30"/>
        <v>915.20456108370024</v>
      </c>
      <c r="N30" s="14">
        <f t="shared" si="30"/>
        <v>871.79065425495514</v>
      </c>
      <c r="O30" s="14">
        <f t="shared" si="30"/>
        <v>831.69720265502815</v>
      </c>
      <c r="P30" s="14">
        <f t="shared" si="30"/>
        <v>791.69550910842361</v>
      </c>
      <c r="Q30" s="14">
        <f t="shared" si="30"/>
        <v>756.37216533640685</v>
      </c>
      <c r="R30" s="14">
        <f t="shared" si="30"/>
        <v>714.31495034952115</v>
      </c>
      <c r="S30" s="14">
        <f t="shared" si="30"/>
        <v>696.34761195905639</v>
      </c>
      <c r="T30" s="14">
        <f t="shared" si="30"/>
        <v>675.73122270236672</v>
      </c>
      <c r="U30" s="14">
        <f t="shared" si="30"/>
        <v>654.4154298055131</v>
      </c>
      <c r="V30" s="14">
        <f t="shared" si="30"/>
        <v>630.38033658836514</v>
      </c>
      <c r="W30" s="14">
        <f t="shared" si="30"/>
        <v>604.77140132598061</v>
      </c>
      <c r="X30" s="14">
        <f t="shared" si="30"/>
        <v>574.25147541310218</v>
      </c>
      <c r="Y30" s="14">
        <f t="shared" si="30"/>
        <v>542.16634676443778</v>
      </c>
      <c r="Z30" s="14">
        <f t="shared" si="30"/>
        <v>508.87316968780317</v>
      </c>
      <c r="AA30" s="14">
        <f t="shared" si="30"/>
        <v>475.05240742781399</v>
      </c>
      <c r="AB30" s="14">
        <f t="shared" si="30"/>
        <v>440.79550517748339</v>
      </c>
      <c r="AC30" s="14">
        <f t="shared" si="30"/>
        <v>405.33916865760096</v>
      </c>
      <c r="AD30" s="14">
        <f t="shared" si="30"/>
        <v>371.0317962783248</v>
      </c>
      <c r="AE30" s="14">
        <f t="shared" si="30"/>
        <v>338.3117312978743</v>
      </c>
      <c r="AF30" s="14">
        <f t="shared" si="30"/>
        <v>307.88387758008992</v>
      </c>
      <c r="AG30" s="14">
        <f t="shared" si="30"/>
        <v>280.240779235638</v>
      </c>
      <c r="AH30" s="14"/>
    </row>
    <row r="31" spans="1:35" x14ac:dyDescent="0.3">
      <c r="A31" s="7">
        <v>3.03</v>
      </c>
      <c r="B31" s="13">
        <v>2025</v>
      </c>
      <c r="C31" s="7">
        <f t="shared" ref="C31:C34" si="31">A31/A$29*C$29</f>
        <v>2.9461245674740479</v>
      </c>
      <c r="D31" s="7">
        <f t="shared" ref="D31:D34" si="32">A31/A$29*D$29</f>
        <v>2.881121107266436</v>
      </c>
      <c r="F31" s="3" t="s">
        <v>47</v>
      </c>
      <c r="G31" s="3" t="s">
        <v>48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</row>
    <row r="32" spans="1:35" x14ac:dyDescent="0.3">
      <c r="A32" s="7">
        <v>3.13</v>
      </c>
      <c r="B32" s="13">
        <v>2030</v>
      </c>
      <c r="C32" s="7">
        <f t="shared" si="31"/>
        <v>3.043356401384083</v>
      </c>
      <c r="D32" s="7">
        <f t="shared" si="32"/>
        <v>2.9762076124567476</v>
      </c>
      <c r="K32">
        <f>K29/K28</f>
        <v>0.99959425291538762</v>
      </c>
      <c r="L32">
        <f t="shared" ref="L32:AG32" si="33">L29/L28</f>
        <v>0.98664225808609807</v>
      </c>
      <c r="M32">
        <f t="shared" si="33"/>
        <v>0.97152251872268569</v>
      </c>
      <c r="N32">
        <f t="shared" si="33"/>
        <v>0.9565554422097704</v>
      </c>
      <c r="O32">
        <f t="shared" si="33"/>
        <v>0.94013671775643637</v>
      </c>
      <c r="P32">
        <f t="shared" si="33"/>
        <v>0.92224690610749704</v>
      </c>
      <c r="Q32">
        <f t="shared" si="33"/>
        <v>0.90252011264807874</v>
      </c>
      <c r="R32">
        <f t="shared" si="33"/>
        <v>0.88165223160690198</v>
      </c>
      <c r="S32">
        <f t="shared" si="33"/>
        <v>0.85767229303241088</v>
      </c>
      <c r="T32">
        <f t="shared" si="33"/>
        <v>0.8317110522379374</v>
      </c>
      <c r="U32">
        <f t="shared" si="33"/>
        <v>0.80349435349762</v>
      </c>
      <c r="V32">
        <f t="shared" si="33"/>
        <v>0.77334972477942787</v>
      </c>
      <c r="W32">
        <f t="shared" si="33"/>
        <v>0.74119799144243137</v>
      </c>
      <c r="X32">
        <f t="shared" si="33"/>
        <v>0.70614405765849209</v>
      </c>
      <c r="Y32">
        <f t="shared" si="33"/>
        <v>0.66936620563368188</v>
      </c>
      <c r="Z32">
        <f t="shared" si="33"/>
        <v>0.63118809493547612</v>
      </c>
      <c r="AA32">
        <f t="shared" si="33"/>
        <v>0.59188842786978291</v>
      </c>
      <c r="AB32">
        <f t="shared" si="33"/>
        <v>0.5521211828318715</v>
      </c>
      <c r="AC32">
        <f t="shared" si="33"/>
        <v>0.51350003915992015</v>
      </c>
      <c r="AD32">
        <f t="shared" si="33"/>
        <v>0.47575177914941469</v>
      </c>
      <c r="AE32">
        <f t="shared" si="33"/>
        <v>0.43970720250148826</v>
      </c>
      <c r="AF32">
        <f t="shared" si="33"/>
        <v>0.40591205441012201</v>
      </c>
      <c r="AG32">
        <f t="shared" si="33"/>
        <v>0.3749732211594578</v>
      </c>
    </row>
    <row r="33" spans="1:33" x14ac:dyDescent="0.3">
      <c r="A33" s="7">
        <v>3.2</v>
      </c>
      <c r="B33" s="13">
        <v>2035</v>
      </c>
      <c r="C33" s="7">
        <f t="shared" si="31"/>
        <v>3.1114186851211074</v>
      </c>
      <c r="D33" s="7">
        <f t="shared" si="32"/>
        <v>3.0427681660899659</v>
      </c>
      <c r="K33">
        <f>K30/K28</f>
        <v>0.99901303494323057</v>
      </c>
      <c r="L33">
        <f t="shared" ref="L33:AG33" si="34">L30/L28</f>
        <v>0.9850098500282024</v>
      </c>
      <c r="M33">
        <f t="shared" si="34"/>
        <v>0.96886821232128972</v>
      </c>
      <c r="N33">
        <f t="shared" si="34"/>
        <v>0.95241874257532844</v>
      </c>
      <c r="O33">
        <f t="shared" si="34"/>
        <v>0.93434188281449537</v>
      </c>
      <c r="P33">
        <f t="shared" si="34"/>
        <v>0.91459210302151583</v>
      </c>
      <c r="Q33">
        <f t="shared" si="34"/>
        <v>0.89284878635055442</v>
      </c>
      <c r="R33">
        <f t="shared" si="34"/>
        <v>0.86964845279199876</v>
      </c>
      <c r="S33">
        <f t="shared" si="34"/>
        <v>0.84339338468918679</v>
      </c>
      <c r="T33">
        <f t="shared" si="34"/>
        <v>0.81498501278589119</v>
      </c>
      <c r="U33">
        <f t="shared" si="34"/>
        <v>0.78420858741591992</v>
      </c>
      <c r="V33">
        <f t="shared" si="34"/>
        <v>0.75134691219757777</v>
      </c>
      <c r="W33">
        <f t="shared" si="34"/>
        <v>0.71637370119949473</v>
      </c>
      <c r="X33">
        <f t="shared" si="34"/>
        <v>0.67862780010249757</v>
      </c>
      <c r="Y33">
        <f t="shared" si="34"/>
        <v>0.63913502278872825</v>
      </c>
      <c r="Z33">
        <f t="shared" si="34"/>
        <v>0.59825898902723262</v>
      </c>
      <c r="AA33">
        <f t="shared" si="34"/>
        <v>0.5563512742152722</v>
      </c>
      <c r="AB33">
        <f t="shared" si="34"/>
        <v>0.51408710970763183</v>
      </c>
      <c r="AC33">
        <f t="shared" si="34"/>
        <v>0.47293060488174471</v>
      </c>
      <c r="AD33">
        <f t="shared" si="34"/>
        <v>0.43284287624595336</v>
      </c>
      <c r="AE33">
        <f t="shared" si="34"/>
        <v>0.39467380922887496</v>
      </c>
      <c r="AF33">
        <f t="shared" si="34"/>
        <v>0.35903509470403122</v>
      </c>
      <c r="AG33">
        <f t="shared" si="34"/>
        <v>0.32656473599681141</v>
      </c>
    </row>
    <row r="34" spans="1:33" x14ac:dyDescent="0.3">
      <c r="A34" s="7">
        <v>3.23</v>
      </c>
      <c r="B34" s="12">
        <v>2040</v>
      </c>
      <c r="C34" s="7">
        <f t="shared" si="31"/>
        <v>3.1405882352941177</v>
      </c>
      <c r="D34" s="7">
        <f t="shared" si="32"/>
        <v>3.0712941176470592</v>
      </c>
      <c r="K34">
        <v>2018</v>
      </c>
      <c r="L34">
        <v>2019</v>
      </c>
      <c r="M34">
        <v>2020</v>
      </c>
      <c r="N34">
        <v>2021</v>
      </c>
      <c r="O34">
        <v>2022</v>
      </c>
      <c r="P34">
        <v>2023</v>
      </c>
      <c r="Q34">
        <v>2024</v>
      </c>
      <c r="R34">
        <v>2025</v>
      </c>
      <c r="S34">
        <v>2026</v>
      </c>
      <c r="T34">
        <v>2027</v>
      </c>
      <c r="U34">
        <v>2028</v>
      </c>
      <c r="V34">
        <v>2029</v>
      </c>
      <c r="W34">
        <v>2030</v>
      </c>
      <c r="X34">
        <v>2031</v>
      </c>
      <c r="Y34">
        <v>2032</v>
      </c>
      <c r="Z34">
        <v>2033</v>
      </c>
      <c r="AA34">
        <v>2034</v>
      </c>
      <c r="AB34">
        <v>2035</v>
      </c>
      <c r="AC34">
        <v>2036</v>
      </c>
      <c r="AD34">
        <v>2037</v>
      </c>
      <c r="AE34">
        <v>2038</v>
      </c>
      <c r="AF34">
        <v>2039</v>
      </c>
      <c r="AG34">
        <v>2040</v>
      </c>
    </row>
    <row r="35" spans="1:33" x14ac:dyDescent="0.3">
      <c r="J35" t="s">
        <v>39</v>
      </c>
      <c r="K35" s="16">
        <f>K31-K32</f>
        <v>4.0574708461238451E-4</v>
      </c>
      <c r="L35" s="16">
        <f t="shared" ref="L35:AF35" si="35">L31-L32</f>
        <v>1.3357741913901933E-2</v>
      </c>
      <c r="M35" s="16">
        <f t="shared" si="35"/>
        <v>2.8477481277314309E-2</v>
      </c>
      <c r="N35" s="16">
        <f t="shared" si="35"/>
        <v>4.3444557790229599E-2</v>
      </c>
      <c r="O35" s="16">
        <f t="shared" si="35"/>
        <v>5.9863282243563631E-2</v>
      </c>
      <c r="P35" s="16">
        <f t="shared" si="35"/>
        <v>7.7753093892502956E-2</v>
      </c>
      <c r="Q35" s="16">
        <f t="shared" si="35"/>
        <v>9.7479887351921257E-2</v>
      </c>
      <c r="R35" s="16">
        <f t="shared" si="35"/>
        <v>0.11834776839309802</v>
      </c>
      <c r="S35" s="16">
        <f t="shared" si="35"/>
        <v>0.14232770696758912</v>
      </c>
      <c r="T35" s="16">
        <f t="shared" si="35"/>
        <v>0.1682889477620626</v>
      </c>
      <c r="U35" s="16">
        <f t="shared" si="35"/>
        <v>0.19650564650238</v>
      </c>
      <c r="V35" s="16">
        <f t="shared" si="35"/>
        <v>0.22665027522057213</v>
      </c>
      <c r="W35" s="16">
        <f t="shared" si="35"/>
        <v>0.25880200855756863</v>
      </c>
      <c r="X35" s="16">
        <f t="shared" si="35"/>
        <v>0.29385594234150791</v>
      </c>
      <c r="Y35" s="16">
        <f t="shared" si="35"/>
        <v>0.33063379436631812</v>
      </c>
      <c r="Z35" s="16">
        <f t="shared" si="35"/>
        <v>0.36881190506452388</v>
      </c>
      <c r="AA35" s="16">
        <f t="shared" si="35"/>
        <v>0.40811157213021709</v>
      </c>
      <c r="AB35" s="16">
        <f t="shared" si="35"/>
        <v>0.4478788171681285</v>
      </c>
      <c r="AC35" s="16">
        <f t="shared" si="35"/>
        <v>0.48649996084007985</v>
      </c>
      <c r="AD35" s="16">
        <f t="shared" si="35"/>
        <v>0.52424822085058531</v>
      </c>
      <c r="AE35" s="16">
        <f t="shared" si="35"/>
        <v>0.56029279749851169</v>
      </c>
      <c r="AF35" s="16">
        <f t="shared" si="35"/>
        <v>0.59408794558987799</v>
      </c>
      <c r="AG35" s="16">
        <f>AG31-AG32</f>
        <v>0.62502677884054214</v>
      </c>
    </row>
    <row r="36" spans="1:33" x14ac:dyDescent="0.3">
      <c r="B36" s="3" t="s">
        <v>49</v>
      </c>
      <c r="C36" s="3" t="s">
        <v>50</v>
      </c>
      <c r="F36" s="3" t="s">
        <v>52</v>
      </c>
      <c r="J36" t="s">
        <v>56</v>
      </c>
      <c r="K36" s="16">
        <f>K32-K33</f>
        <v>5.8121797215704429E-4</v>
      </c>
      <c r="L36" s="16">
        <f t="shared" ref="L36:AG36" si="36">L32-L33</f>
        <v>1.6324080578956623E-3</v>
      </c>
      <c r="M36" s="16">
        <f t="shared" si="36"/>
        <v>2.6543064013959672E-3</v>
      </c>
      <c r="N36" s="16">
        <f t="shared" si="36"/>
        <v>4.1366996344419649E-3</v>
      </c>
      <c r="O36" s="16">
        <f t="shared" si="36"/>
        <v>5.7948349419409961E-3</v>
      </c>
      <c r="P36" s="16">
        <f t="shared" si="36"/>
        <v>7.65480308598121E-3</v>
      </c>
      <c r="Q36" s="16">
        <f t="shared" si="36"/>
        <v>9.6713262975243186E-3</v>
      </c>
      <c r="R36" s="16">
        <f t="shared" si="36"/>
        <v>1.2003778814903221E-2</v>
      </c>
      <c r="S36" s="16">
        <f t="shared" si="36"/>
        <v>1.4278908343224095E-2</v>
      </c>
      <c r="T36" s="16">
        <f t="shared" si="36"/>
        <v>1.6726039452046204E-2</v>
      </c>
      <c r="U36" s="16">
        <f t="shared" si="36"/>
        <v>1.9285766081700073E-2</v>
      </c>
      <c r="V36" s="16">
        <f t="shared" si="36"/>
        <v>2.2002812581850106E-2</v>
      </c>
      <c r="W36" s="16">
        <f t="shared" si="36"/>
        <v>2.4824290242936642E-2</v>
      </c>
      <c r="X36" s="16">
        <f t="shared" si="36"/>
        <v>2.7516257555994517E-2</v>
      </c>
      <c r="Y36" s="16">
        <f t="shared" si="36"/>
        <v>3.023118284495363E-2</v>
      </c>
      <c r="Z36" s="16">
        <f t="shared" si="36"/>
        <v>3.2929105908243494E-2</v>
      </c>
      <c r="AA36" s="16">
        <f t="shared" si="36"/>
        <v>3.5537153654510711E-2</v>
      </c>
      <c r="AB36" s="16">
        <f t="shared" si="36"/>
        <v>3.8034073124239676E-2</v>
      </c>
      <c r="AC36" s="16">
        <f t="shared" si="36"/>
        <v>4.0569434278175442E-2</v>
      </c>
      <c r="AD36" s="16">
        <f t="shared" si="36"/>
        <v>4.2908902903461332E-2</v>
      </c>
      <c r="AE36" s="16">
        <f t="shared" si="36"/>
        <v>4.5033393272613298E-2</v>
      </c>
      <c r="AF36" s="16">
        <f t="shared" si="36"/>
        <v>4.6876959706090793E-2</v>
      </c>
      <c r="AG36" s="16">
        <f t="shared" si="36"/>
        <v>4.8408485162646397E-2</v>
      </c>
    </row>
    <row r="37" spans="1:33" x14ac:dyDescent="0.3">
      <c r="A37" s="1">
        <v>2018</v>
      </c>
      <c r="B37" s="11">
        <v>1</v>
      </c>
      <c r="C37" s="10">
        <f>D29</f>
        <v>2.7480000000000002</v>
      </c>
      <c r="D37" s="11">
        <f>(C37/B37)/$C$37</f>
        <v>1</v>
      </c>
      <c r="E37" s="3" t="s">
        <v>51</v>
      </c>
      <c r="F37" s="10">
        <f>D37*C37*10000/28.45</f>
        <v>965.90509666080857</v>
      </c>
      <c r="J37" t="s">
        <v>57</v>
      </c>
      <c r="K37" s="16">
        <f>K33</f>
        <v>0.99901303494323057</v>
      </c>
      <c r="L37" s="16">
        <f t="shared" ref="L37:AG37" si="37">L33</f>
        <v>0.9850098500282024</v>
      </c>
      <c r="M37" s="16">
        <f t="shared" si="37"/>
        <v>0.96886821232128972</v>
      </c>
      <c r="N37" s="16">
        <f t="shared" si="37"/>
        <v>0.95241874257532844</v>
      </c>
      <c r="O37" s="16">
        <f t="shared" si="37"/>
        <v>0.93434188281449537</v>
      </c>
      <c r="P37" s="16">
        <f t="shared" si="37"/>
        <v>0.91459210302151583</v>
      </c>
      <c r="Q37" s="16">
        <f t="shared" si="37"/>
        <v>0.89284878635055442</v>
      </c>
      <c r="R37" s="16">
        <f t="shared" si="37"/>
        <v>0.86964845279199876</v>
      </c>
      <c r="S37" s="16">
        <f t="shared" si="37"/>
        <v>0.84339338468918679</v>
      </c>
      <c r="T37" s="16">
        <f t="shared" si="37"/>
        <v>0.81498501278589119</v>
      </c>
      <c r="U37" s="16">
        <f t="shared" si="37"/>
        <v>0.78420858741591992</v>
      </c>
      <c r="V37" s="16">
        <f t="shared" si="37"/>
        <v>0.75134691219757777</v>
      </c>
      <c r="W37" s="16">
        <f t="shared" si="37"/>
        <v>0.71637370119949473</v>
      </c>
      <c r="X37" s="16">
        <f t="shared" si="37"/>
        <v>0.67862780010249757</v>
      </c>
      <c r="Y37" s="16">
        <f t="shared" si="37"/>
        <v>0.63913502278872825</v>
      </c>
      <c r="Z37" s="16">
        <f t="shared" si="37"/>
        <v>0.59825898902723262</v>
      </c>
      <c r="AA37" s="16">
        <f t="shared" si="37"/>
        <v>0.5563512742152722</v>
      </c>
      <c r="AB37" s="16">
        <f t="shared" si="37"/>
        <v>0.51408710970763183</v>
      </c>
      <c r="AC37" s="16">
        <f t="shared" si="37"/>
        <v>0.47293060488174471</v>
      </c>
      <c r="AD37" s="16">
        <f t="shared" si="37"/>
        <v>0.43284287624595336</v>
      </c>
      <c r="AE37" s="16">
        <f t="shared" si="37"/>
        <v>0.39467380922887496</v>
      </c>
      <c r="AF37" s="16">
        <f t="shared" si="37"/>
        <v>0.35903509470403122</v>
      </c>
      <c r="AG37" s="16">
        <f t="shared" si="37"/>
        <v>0.32656473599681141</v>
      </c>
    </row>
    <row r="38" spans="1:33" x14ac:dyDescent="0.3">
      <c r="A38" s="1">
        <v>2019</v>
      </c>
      <c r="B38" s="11">
        <v>1.0229164876185368</v>
      </c>
      <c r="C38" s="10">
        <f>AVERAGE(C37,C39)</f>
        <v>2.7717716262975785</v>
      </c>
      <c r="D38" s="11">
        <f t="shared" ref="D38:D59" si="38">(C38/B38)/$C$37</f>
        <v>0.98605363315571593</v>
      </c>
      <c r="F38" s="10">
        <f t="shared" ref="F38:F59" si="39">D38*C38*10000/28.45</f>
        <v>960.67328027720725</v>
      </c>
    </row>
    <row r="39" spans="1:33" x14ac:dyDescent="0.3">
      <c r="A39" s="1">
        <v>2020</v>
      </c>
      <c r="B39" s="11">
        <v>1.0582297445964535</v>
      </c>
      <c r="C39" s="10">
        <f>D30</f>
        <v>2.7955432525951562</v>
      </c>
      <c r="D39" s="11">
        <f t="shared" si="38"/>
        <v>0.96132342079481292</v>
      </c>
      <c r="F39" s="10">
        <f t="shared" si="39"/>
        <v>944.61202199108391</v>
      </c>
      <c r="K39">
        <v>2018</v>
      </c>
      <c r="L39">
        <v>2019</v>
      </c>
      <c r="M39">
        <v>2020</v>
      </c>
      <c r="N39">
        <v>2021</v>
      </c>
      <c r="O39">
        <v>2022</v>
      </c>
      <c r="P39">
        <v>2023</v>
      </c>
      <c r="Q39">
        <v>2024</v>
      </c>
      <c r="R39">
        <v>2025</v>
      </c>
      <c r="S39">
        <v>2026</v>
      </c>
      <c r="T39">
        <v>2027</v>
      </c>
      <c r="U39">
        <v>2028</v>
      </c>
      <c r="V39">
        <v>2029</v>
      </c>
      <c r="W39">
        <v>2030</v>
      </c>
      <c r="X39">
        <v>2031</v>
      </c>
      <c r="Y39">
        <v>2032</v>
      </c>
      <c r="Z39">
        <v>2033</v>
      </c>
      <c r="AA39">
        <v>2034</v>
      </c>
      <c r="AB39">
        <v>2035</v>
      </c>
      <c r="AC39">
        <v>2036</v>
      </c>
      <c r="AD39">
        <v>2037</v>
      </c>
      <c r="AE39">
        <v>2038</v>
      </c>
      <c r="AF39">
        <v>2039</v>
      </c>
      <c r="AG39">
        <v>2040</v>
      </c>
    </row>
    <row r="40" spans="1:33" x14ac:dyDescent="0.3">
      <c r="A40" s="1">
        <v>2021</v>
      </c>
      <c r="B40" s="11">
        <v>1.1054798622118882</v>
      </c>
      <c r="C40" s="10">
        <f>($C$44-$C$39)/(5)*(A40-$A$39)+$C$39</f>
        <v>2.8126588235294121</v>
      </c>
      <c r="D40" s="11">
        <f t="shared" si="38"/>
        <v>0.92586888893370467</v>
      </c>
      <c r="F40" s="10">
        <f t="shared" si="39"/>
        <v>915.34386639393938</v>
      </c>
      <c r="J40" t="s">
        <v>39</v>
      </c>
      <c r="K40" s="14">
        <f>K28-K29</f>
        <v>0.39191317698237071</v>
      </c>
      <c r="L40" s="14">
        <f t="shared" ref="L40:AG40" si="40">L28-L29</f>
        <v>12.832425741524503</v>
      </c>
      <c r="M40" s="14">
        <f t="shared" si="40"/>
        <v>26.900171170577096</v>
      </c>
      <c r="N40" s="14">
        <f t="shared" si="40"/>
        <v>39.76670950148366</v>
      </c>
      <c r="O40" s="14">
        <f t="shared" si="40"/>
        <v>53.286837826154965</v>
      </c>
      <c r="P40" s="14">
        <f t="shared" si="40"/>
        <v>67.305168118789311</v>
      </c>
      <c r="Q40" s="14">
        <f t="shared" si="40"/>
        <v>82.579575175872037</v>
      </c>
      <c r="R40" s="14">
        <f t="shared" si="40"/>
        <v>97.208912443051304</v>
      </c>
      <c r="S40" s="14">
        <f t="shared" si="40"/>
        <v>117.51284828848111</v>
      </c>
      <c r="T40" s="14">
        <f t="shared" si="40"/>
        <v>139.53397259395831</v>
      </c>
      <c r="U40" s="14">
        <f t="shared" si="40"/>
        <v>163.98229907021118</v>
      </c>
      <c r="V40" s="14">
        <f t="shared" si="40"/>
        <v>190.15966454630018</v>
      </c>
      <c r="W40" s="14">
        <f t="shared" si="40"/>
        <v>218.48380687240342</v>
      </c>
      <c r="X40" s="14">
        <f t="shared" si="40"/>
        <v>248.65943956765614</v>
      </c>
      <c r="Y40" s="14">
        <f t="shared" si="40"/>
        <v>280.47049530519394</v>
      </c>
      <c r="Z40" s="14">
        <f t="shared" si="40"/>
        <v>313.70775298160765</v>
      </c>
      <c r="AA40" s="14">
        <f t="shared" si="40"/>
        <v>348.47477452634115</v>
      </c>
      <c r="AB40" s="14">
        <f t="shared" si="40"/>
        <v>384.02629776925551</v>
      </c>
      <c r="AC40" s="14">
        <f t="shared" si="40"/>
        <v>416.96918669110494</v>
      </c>
      <c r="AD40" s="14">
        <f t="shared" si="40"/>
        <v>449.38422174096507</v>
      </c>
      <c r="AE40" s="14">
        <f t="shared" si="40"/>
        <v>480.27921266375927</v>
      </c>
      <c r="AF40" s="14">
        <f t="shared" si="40"/>
        <v>509.4490845319234</v>
      </c>
      <c r="AG40" s="14">
        <f t="shared" si="40"/>
        <v>536.36529679409284</v>
      </c>
    </row>
    <row r="41" spans="1:33" x14ac:dyDescent="0.3">
      <c r="A41" s="1">
        <v>2022</v>
      </c>
      <c r="B41" s="11">
        <v>1.1506551937352012</v>
      </c>
      <c r="C41" s="10">
        <f t="shared" ref="C41:C43" si="41">($C$44-$C$39)/(5)*(A41-$A$39)+$C$39</f>
        <v>2.829774394463668</v>
      </c>
      <c r="D41" s="11">
        <f t="shared" si="38"/>
        <v>0.8949316798583058</v>
      </c>
      <c r="F41" s="10">
        <f t="shared" si="39"/>
        <v>890.14226799908283</v>
      </c>
      <c r="J41" t="s">
        <v>56</v>
      </c>
      <c r="K41" s="14">
        <f>K29-K30</f>
        <v>0.56140140157731366</v>
      </c>
      <c r="L41" s="14">
        <f t="shared" ref="L41:AG41" si="42">L29-L30</f>
        <v>1.5682108037295848</v>
      </c>
      <c r="M41" s="14">
        <f t="shared" si="42"/>
        <v>2.5072897368065696</v>
      </c>
      <c r="N41" s="14">
        <f t="shared" si="42"/>
        <v>3.7865026375005755</v>
      </c>
      <c r="O41" s="14">
        <f t="shared" si="42"/>
        <v>5.1582275178997179</v>
      </c>
      <c r="P41" s="14">
        <f t="shared" si="42"/>
        <v>6.6262033164942977</v>
      </c>
      <c r="Q41" s="14">
        <f t="shared" si="42"/>
        <v>8.1930133356996748</v>
      </c>
      <c r="R41" s="14">
        <f t="shared" si="42"/>
        <v>9.8597066902676715</v>
      </c>
      <c r="S41" s="14">
        <f t="shared" si="42"/>
        <v>11.789378369206247</v>
      </c>
      <c r="T41" s="14">
        <f t="shared" si="42"/>
        <v>13.868116483840708</v>
      </c>
      <c r="U41" s="14">
        <f t="shared" si="42"/>
        <v>16.093808588697129</v>
      </c>
      <c r="V41" s="14">
        <f t="shared" si="42"/>
        <v>18.460367875432325</v>
      </c>
      <c r="W41" s="14">
        <f t="shared" si="42"/>
        <v>20.956968090824489</v>
      </c>
      <c r="X41" s="14">
        <f t="shared" si="42"/>
        <v>23.284120539992955</v>
      </c>
      <c r="Y41" s="14">
        <f t="shared" si="42"/>
        <v>25.644549863502334</v>
      </c>
      <c r="Z41" s="14">
        <f t="shared" si="42"/>
        <v>28.009171288440825</v>
      </c>
      <c r="AA41" s="14">
        <f t="shared" si="42"/>
        <v>30.34415697262375</v>
      </c>
      <c r="AB41" s="14">
        <f t="shared" si="42"/>
        <v>32.611688097550655</v>
      </c>
      <c r="AC41" s="14">
        <f t="shared" si="42"/>
        <v>34.771234074260576</v>
      </c>
      <c r="AD41" s="14">
        <f t="shared" si="42"/>
        <v>36.781400813807011</v>
      </c>
      <c r="AE41" s="14">
        <f t="shared" si="42"/>
        <v>38.602321431064979</v>
      </c>
      <c r="AF41" s="14">
        <f t="shared" si="42"/>
        <v>40.198466212263611</v>
      </c>
      <c r="AG41" s="14">
        <f t="shared" si="42"/>
        <v>41.54163051986518</v>
      </c>
    </row>
    <row r="42" spans="1:33" x14ac:dyDescent="0.3">
      <c r="A42" s="1">
        <v>2023</v>
      </c>
      <c r="B42" s="11">
        <v>1.19759956592307</v>
      </c>
      <c r="C42" s="10">
        <f t="shared" si="41"/>
        <v>2.8468899653979243</v>
      </c>
      <c r="D42" s="11">
        <f t="shared" si="38"/>
        <v>0.86505221665728183</v>
      </c>
      <c r="F42" s="10">
        <f t="shared" si="39"/>
        <v>865.62688054370722</v>
      </c>
      <c r="J42" t="s">
        <v>57</v>
      </c>
      <c r="K42" s="14">
        <f>K30</f>
        <v>964.95178208224888</v>
      </c>
      <c r="L42" s="14">
        <f t="shared" ref="L42:AG42" si="43">L30</f>
        <v>946.27264373195317</v>
      </c>
      <c r="M42" s="14">
        <f t="shared" si="43"/>
        <v>915.20456108370024</v>
      </c>
      <c r="N42" s="14">
        <f t="shared" si="43"/>
        <v>871.79065425495514</v>
      </c>
      <c r="O42" s="14">
        <f t="shared" si="43"/>
        <v>831.69720265502815</v>
      </c>
      <c r="P42" s="14">
        <f t="shared" si="43"/>
        <v>791.69550910842361</v>
      </c>
      <c r="Q42" s="14">
        <f t="shared" si="43"/>
        <v>756.37216533640685</v>
      </c>
      <c r="R42" s="14">
        <f t="shared" si="43"/>
        <v>714.31495034952115</v>
      </c>
      <c r="S42" s="14">
        <f t="shared" si="43"/>
        <v>696.34761195905639</v>
      </c>
      <c r="T42" s="14">
        <f t="shared" si="43"/>
        <v>675.73122270236672</v>
      </c>
      <c r="U42" s="14">
        <f t="shared" si="43"/>
        <v>654.4154298055131</v>
      </c>
      <c r="V42" s="14">
        <f t="shared" si="43"/>
        <v>630.38033658836514</v>
      </c>
      <c r="W42" s="14">
        <f t="shared" si="43"/>
        <v>604.77140132598061</v>
      </c>
      <c r="X42" s="14">
        <f t="shared" si="43"/>
        <v>574.25147541310218</v>
      </c>
      <c r="Y42" s="14">
        <f t="shared" si="43"/>
        <v>542.16634676443778</v>
      </c>
      <c r="Z42" s="14">
        <f t="shared" si="43"/>
        <v>508.87316968780317</v>
      </c>
      <c r="AA42" s="14">
        <f t="shared" si="43"/>
        <v>475.05240742781399</v>
      </c>
      <c r="AB42" s="14">
        <f t="shared" si="43"/>
        <v>440.79550517748339</v>
      </c>
      <c r="AC42" s="14">
        <f t="shared" si="43"/>
        <v>405.33916865760096</v>
      </c>
      <c r="AD42" s="14">
        <f t="shared" si="43"/>
        <v>371.0317962783248</v>
      </c>
      <c r="AE42" s="14">
        <f t="shared" si="43"/>
        <v>338.3117312978743</v>
      </c>
      <c r="AF42" s="14">
        <f t="shared" si="43"/>
        <v>307.88387758008992</v>
      </c>
      <c r="AG42" s="14">
        <f t="shared" si="43"/>
        <v>280.240779235638</v>
      </c>
    </row>
    <row r="43" spans="1:33" x14ac:dyDescent="0.3">
      <c r="A43" s="1">
        <v>2024</v>
      </c>
      <c r="B43" s="11">
        <v>1.2384859425668726</v>
      </c>
      <c r="C43" s="10">
        <f t="shared" si="41"/>
        <v>2.8640055363321801</v>
      </c>
      <c r="D43" s="11">
        <f t="shared" si="38"/>
        <v>0.8415231025649671</v>
      </c>
      <c r="F43" s="10">
        <f t="shared" si="39"/>
        <v>847.14475384797856</v>
      </c>
    </row>
    <row r="44" spans="1:33" x14ac:dyDescent="0.3">
      <c r="A44" s="1">
        <v>2025</v>
      </c>
      <c r="B44" s="11">
        <v>1.2926412713775233</v>
      </c>
      <c r="C44" s="10">
        <f>D31</f>
        <v>2.881121107266436</v>
      </c>
      <c r="D44" s="11">
        <f t="shared" si="38"/>
        <v>0.81108574342292572</v>
      </c>
      <c r="F44" s="10">
        <f t="shared" si="39"/>
        <v>821.38356948284013</v>
      </c>
    </row>
    <row r="45" spans="1:33" x14ac:dyDescent="0.3">
      <c r="A45" s="1">
        <v>2026</v>
      </c>
      <c r="B45" s="11">
        <v>1.3029944038410819</v>
      </c>
      <c r="C45" s="10">
        <f>($C$49-$C$44)/(5)*(A45-$A$44)+$C$44</f>
        <v>2.9001384083044983</v>
      </c>
      <c r="D45" s="11">
        <f t="shared" si="38"/>
        <v>0.80995230577216193</v>
      </c>
      <c r="F45" s="10">
        <f t="shared" si="39"/>
        <v>825.64983861674375</v>
      </c>
    </row>
    <row r="46" spans="1:33" x14ac:dyDescent="0.3">
      <c r="A46" s="1">
        <v>2027</v>
      </c>
      <c r="B46" s="11">
        <v>1.3145925269270062</v>
      </c>
      <c r="C46" s="10">
        <f t="shared" ref="C46:C48" si="44">($C$49-$C$44)/(5)*(A46-$A$44)+$C$44</f>
        <v>2.9191557093425606</v>
      </c>
      <c r="D46" s="11">
        <f t="shared" si="38"/>
        <v>0.80807072554064929</v>
      </c>
      <c r="F46" s="10">
        <f t="shared" si="39"/>
        <v>829.13331178016574</v>
      </c>
    </row>
    <row r="47" spans="1:33" x14ac:dyDescent="0.3">
      <c r="A47" s="1">
        <v>2028</v>
      </c>
      <c r="B47" s="11">
        <v>1.323225294324321</v>
      </c>
      <c r="C47" s="10">
        <f t="shared" si="44"/>
        <v>2.938173010380623</v>
      </c>
      <c r="D47" s="11">
        <f t="shared" si="38"/>
        <v>0.80802880419173284</v>
      </c>
      <c r="F47" s="10">
        <f t="shared" si="39"/>
        <v>834.49153746442141</v>
      </c>
    </row>
    <row r="48" spans="1:33" x14ac:dyDescent="0.3">
      <c r="A48" s="1">
        <v>2029</v>
      </c>
      <c r="B48" s="11">
        <v>1.333206426249681</v>
      </c>
      <c r="C48" s="10">
        <f t="shared" si="44"/>
        <v>2.9571903114186853</v>
      </c>
      <c r="D48" s="11">
        <f t="shared" si="38"/>
        <v>0.80717025232258621</v>
      </c>
      <c r="F48" s="10">
        <f t="shared" si="39"/>
        <v>839.00036901009764</v>
      </c>
    </row>
    <row r="49" spans="1:6" x14ac:dyDescent="0.3">
      <c r="A49" s="1">
        <v>2030</v>
      </c>
      <c r="B49" s="11">
        <v>1.3420720611083816</v>
      </c>
      <c r="C49" s="10">
        <f>D32</f>
        <v>2.9762076124567476</v>
      </c>
      <c r="D49" s="11">
        <f t="shared" si="38"/>
        <v>0.8069946570562716</v>
      </c>
      <c r="F49" s="10">
        <f t="shared" si="39"/>
        <v>844.21217628920851</v>
      </c>
    </row>
    <row r="50" spans="1:6" x14ac:dyDescent="0.3">
      <c r="A50" s="1">
        <v>2031</v>
      </c>
      <c r="B50" s="11">
        <v>1.3509316413918422</v>
      </c>
      <c r="C50" s="10">
        <f>($C$54-$C$49)/(5)*(A50-$A$49)+$C$49</f>
        <v>2.9895197231833914</v>
      </c>
      <c r="D50" s="11">
        <f t="shared" si="38"/>
        <v>0.80528817300893729</v>
      </c>
      <c r="F50" s="10">
        <f t="shared" si="39"/>
        <v>846.19503552075128</v>
      </c>
    </row>
    <row r="51" spans="1:6" x14ac:dyDescent="0.3">
      <c r="A51" s="1">
        <v>2032</v>
      </c>
      <c r="B51" s="11">
        <v>1.3596373398656461</v>
      </c>
      <c r="C51" s="10">
        <f t="shared" ref="C51:C53" si="45">($C$54-$C$49)/(5)*(A51-$A$49)+$C$49</f>
        <v>3.0028318339100348</v>
      </c>
      <c r="D51" s="11">
        <f t="shared" si="38"/>
        <v>0.80369487654834515</v>
      </c>
      <c r="F51" s="10">
        <f t="shared" si="39"/>
        <v>848.28139193313405</v>
      </c>
    </row>
    <row r="52" spans="1:6" x14ac:dyDescent="0.3">
      <c r="A52" s="1">
        <v>2033</v>
      </c>
      <c r="B52" s="11">
        <v>1.3679959412252003</v>
      </c>
      <c r="C52" s="10">
        <f t="shared" si="45"/>
        <v>3.0161439446366787</v>
      </c>
      <c r="D52" s="11">
        <f t="shared" si="38"/>
        <v>0.80232537363252054</v>
      </c>
      <c r="F52" s="10">
        <f t="shared" si="39"/>
        <v>850.59009395785165</v>
      </c>
    </row>
    <row r="53" spans="1:6" x14ac:dyDescent="0.3">
      <c r="A53" s="1">
        <v>2034</v>
      </c>
      <c r="B53" s="11">
        <v>1.3747947937153633</v>
      </c>
      <c r="C53" s="10">
        <f t="shared" si="45"/>
        <v>3.0294560553633221</v>
      </c>
      <c r="D53" s="11">
        <f t="shared" si="38"/>
        <v>0.80188123374357534</v>
      </c>
      <c r="F53" s="10">
        <f t="shared" si="39"/>
        <v>853.87133892677889</v>
      </c>
    </row>
    <row r="54" spans="1:6" x14ac:dyDescent="0.3">
      <c r="A54" s="1">
        <v>2035</v>
      </c>
      <c r="B54" s="11">
        <v>1.3811418527389001</v>
      </c>
      <c r="C54" s="10">
        <f>D33</f>
        <v>3.0427681660899659</v>
      </c>
      <c r="D54" s="11">
        <f t="shared" si="38"/>
        <v>0.80170362934869666</v>
      </c>
      <c r="F54" s="10">
        <f t="shared" si="39"/>
        <v>857.43349104428955</v>
      </c>
    </row>
    <row r="55" spans="1:6" x14ac:dyDescent="0.3">
      <c r="A55" s="1">
        <v>2036</v>
      </c>
      <c r="B55" s="11">
        <v>1.3868984260345629</v>
      </c>
      <c r="C55" s="10">
        <f>($C$59-$C$54)/(5)*(A55-$A$54)+$C$54</f>
        <v>3.0484733564013844</v>
      </c>
      <c r="D55" s="11">
        <f t="shared" si="38"/>
        <v>0.79987296814913778</v>
      </c>
      <c r="F55" s="10">
        <f t="shared" si="39"/>
        <v>857.07958942296648</v>
      </c>
    </row>
    <row r="56" spans="1:6" x14ac:dyDescent="0.3">
      <c r="A56" s="1">
        <v>2037</v>
      </c>
      <c r="B56" s="11">
        <v>1.3919030635736453</v>
      </c>
      <c r="C56" s="10">
        <f t="shared" ref="C56:C58" si="46">($C$59-$C$54)/(5)*(A56-$A$54)+$C$54</f>
        <v>3.0541785467128033</v>
      </c>
      <c r="D56" s="11">
        <f t="shared" si="38"/>
        <v>0.79848856878552477</v>
      </c>
      <c r="F56" s="10">
        <f t="shared" si="39"/>
        <v>857.19741883309689</v>
      </c>
    </row>
    <row r="57" spans="1:6" x14ac:dyDescent="0.3">
      <c r="A57" s="1">
        <v>2038</v>
      </c>
      <c r="B57" s="11">
        <v>1.397114826007281</v>
      </c>
      <c r="C57" s="10">
        <f t="shared" si="46"/>
        <v>3.0598837370242218</v>
      </c>
      <c r="D57" s="11">
        <f t="shared" si="38"/>
        <v>0.79699591541144976</v>
      </c>
      <c r="F57" s="10">
        <f t="shared" si="39"/>
        <v>857.19326539269855</v>
      </c>
    </row>
    <row r="58" spans="1:6" x14ac:dyDescent="0.3">
      <c r="A58" s="1">
        <v>2039</v>
      </c>
      <c r="B58" s="11">
        <v>1.4017765568355034</v>
      </c>
      <c r="C58" s="10">
        <f t="shared" si="46"/>
        <v>3.0655889273356407</v>
      </c>
      <c r="D58" s="11">
        <f t="shared" si="38"/>
        <v>0.79582650231677843</v>
      </c>
      <c r="F58" s="10">
        <f t="shared" si="39"/>
        <v>857.53142832427693</v>
      </c>
    </row>
    <row r="59" spans="1:6" x14ac:dyDescent="0.3">
      <c r="A59" s="1">
        <v>2040</v>
      </c>
      <c r="B59" s="11">
        <v>1.4059885070778142</v>
      </c>
      <c r="C59" s="10">
        <f>D34</f>
        <v>3.0712941176470592</v>
      </c>
      <c r="D59" s="11">
        <f t="shared" si="38"/>
        <v>0.79491905744409719</v>
      </c>
      <c r="F59" s="10">
        <f t="shared" si="39"/>
        <v>858.14770654959602</v>
      </c>
    </row>
    <row r="60" spans="1:6" x14ac:dyDescent="0.3">
      <c r="A60" s="1">
        <v>2041</v>
      </c>
      <c r="B60" s="11">
        <v>1.4102099534433965</v>
      </c>
    </row>
    <row r="61" spans="1:6" x14ac:dyDescent="0.3">
      <c r="A61" s="1">
        <v>2042</v>
      </c>
      <c r="B61" s="11">
        <v>1.4134714734598066</v>
      </c>
    </row>
    <row r="62" spans="1:6" x14ac:dyDescent="0.3">
      <c r="A62" s="1">
        <v>2043</v>
      </c>
      <c r="B62" s="11">
        <v>1.4159414002518125</v>
      </c>
    </row>
    <row r="63" spans="1:6" x14ac:dyDescent="0.3">
      <c r="A63" s="1">
        <v>2044</v>
      </c>
      <c r="B63" s="11">
        <v>1.4177285409097187</v>
      </c>
    </row>
    <row r="64" spans="1:6" x14ac:dyDescent="0.3">
      <c r="A64" s="1">
        <v>2045</v>
      </c>
      <c r="B64" s="11">
        <v>1.4203759782879104</v>
      </c>
    </row>
    <row r="65" spans="1:2" x14ac:dyDescent="0.3">
      <c r="A65" s="1">
        <v>2046</v>
      </c>
      <c r="B65" s="11">
        <v>1.4219058366753259</v>
      </c>
    </row>
    <row r="66" spans="1:2" x14ac:dyDescent="0.3">
      <c r="A66" s="1">
        <v>2047</v>
      </c>
      <c r="B66" s="11">
        <v>1.4232246453163433</v>
      </c>
    </row>
    <row r="67" spans="1:2" x14ac:dyDescent="0.3">
      <c r="A67" s="1">
        <v>2048</v>
      </c>
      <c r="B67" s="11">
        <v>1.4248020161863011</v>
      </c>
    </row>
    <row r="68" spans="1:2" x14ac:dyDescent="0.3">
      <c r="A68" s="1">
        <v>2049</v>
      </c>
      <c r="B68" s="11">
        <v>1.4259428256262894</v>
      </c>
    </row>
    <row r="69" spans="1:2" x14ac:dyDescent="0.3">
      <c r="A69" s="1">
        <v>2050</v>
      </c>
      <c r="B69" s="11">
        <v>1.4269125455164637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CC72-77C1-5649-8556-59414A0EC7EB}">
  <dimension ref="A1:Z32"/>
  <sheetViews>
    <sheetView workbookViewId="0"/>
  </sheetViews>
  <sheetFormatPr defaultColWidth="11" defaultRowHeight="17.25" x14ac:dyDescent="0.3"/>
  <cols>
    <col min="2" max="2" width="31.875" style="1" bestFit="1" customWidth="1"/>
    <col min="3" max="4" width="14" style="1" bestFit="1" customWidth="1"/>
    <col min="5" max="5" width="12.875" style="1" bestFit="1" customWidth="1"/>
    <col min="6" max="7" width="14" style="1" bestFit="1" customWidth="1"/>
    <col min="8" max="8" width="12.875" style="1" bestFit="1" customWidth="1"/>
    <col min="9" max="25" width="14" style="1" bestFit="1" customWidth="1"/>
  </cols>
  <sheetData>
    <row r="1" spans="1:25" x14ac:dyDescent="0.3">
      <c r="A1" s="1" t="s">
        <v>36</v>
      </c>
      <c r="B1" s="1" t="s">
        <v>32</v>
      </c>
      <c r="C1" s="1">
        <v>2018</v>
      </c>
      <c r="D1" s="1">
        <v>2019</v>
      </c>
      <c r="E1" s="1">
        <v>2020</v>
      </c>
      <c r="F1" s="1">
        <v>2021</v>
      </c>
      <c r="G1" s="1">
        <v>2022</v>
      </c>
      <c r="H1" s="1">
        <v>2023</v>
      </c>
      <c r="I1" s="1">
        <v>2024</v>
      </c>
      <c r="J1" s="1">
        <v>2025</v>
      </c>
      <c r="K1" s="1">
        <v>2026</v>
      </c>
      <c r="L1" s="1">
        <v>2027</v>
      </c>
      <c r="M1" s="1">
        <v>2028</v>
      </c>
      <c r="N1" s="1">
        <v>2029</v>
      </c>
      <c r="O1" s="1">
        <v>2030</v>
      </c>
      <c r="P1" s="1">
        <v>2031</v>
      </c>
      <c r="Q1" s="1">
        <v>2032</v>
      </c>
      <c r="R1" s="1">
        <v>2033</v>
      </c>
      <c r="S1" s="1">
        <v>2034</v>
      </c>
      <c r="T1" s="1">
        <v>2035</v>
      </c>
      <c r="U1" s="1">
        <v>2036</v>
      </c>
      <c r="V1" s="1">
        <v>2037</v>
      </c>
      <c r="W1" s="1">
        <v>2038</v>
      </c>
      <c r="X1" s="1">
        <v>2039</v>
      </c>
      <c r="Y1" s="1">
        <v>2040</v>
      </c>
    </row>
    <row r="2" spans="1:25" x14ac:dyDescent="0.3">
      <c r="B2" s="1" t="s">
        <v>6</v>
      </c>
      <c r="C2" s="6">
        <v>7.5346377345934847</v>
      </c>
      <c r="D2" s="6">
        <v>7.6973188672967421</v>
      </c>
      <c r="E2" s="6">
        <v>7.86</v>
      </c>
      <c r="F2" s="6">
        <v>7.8960000000000008</v>
      </c>
      <c r="G2" s="6">
        <v>7.9320000000000004</v>
      </c>
      <c r="H2" s="6">
        <v>7.968</v>
      </c>
      <c r="I2" s="6">
        <v>8.0040000000000013</v>
      </c>
      <c r="J2" s="6">
        <v>8.0400000000000009</v>
      </c>
      <c r="K2" s="6">
        <v>8.0760000000000005</v>
      </c>
      <c r="L2" s="6">
        <v>8.1120000000000001</v>
      </c>
      <c r="M2" s="6">
        <v>8.1479999999999997</v>
      </c>
      <c r="N2" s="6">
        <v>8.1840000000000011</v>
      </c>
      <c r="O2" s="6">
        <v>8.2200000000000006</v>
      </c>
      <c r="P2" s="6">
        <v>8.1850000000000005</v>
      </c>
      <c r="Q2" s="6">
        <v>8.15</v>
      </c>
      <c r="R2" s="6">
        <v>8.1150000000000002</v>
      </c>
      <c r="S2" s="6">
        <v>8.08</v>
      </c>
      <c r="T2" s="6">
        <v>8.0449999999999999</v>
      </c>
      <c r="U2" s="6">
        <v>8.01</v>
      </c>
      <c r="V2" s="6">
        <v>7.9750000000000005</v>
      </c>
      <c r="W2" s="6">
        <v>7.94</v>
      </c>
      <c r="X2" s="6">
        <v>7.9050000000000002</v>
      </c>
      <c r="Y2" s="6">
        <v>7.87</v>
      </c>
    </row>
    <row r="3" spans="1:25" x14ac:dyDescent="0.3">
      <c r="B3" s="1" t="s">
        <v>7</v>
      </c>
      <c r="C3" s="6">
        <v>3.7930989020204895</v>
      </c>
      <c r="D3" s="6">
        <v>4.1965494510102443</v>
      </c>
      <c r="E3" s="6">
        <v>4.5999999999999996</v>
      </c>
      <c r="F3" s="6">
        <v>4.6149999999999993</v>
      </c>
      <c r="G3" s="6">
        <v>4.63</v>
      </c>
      <c r="H3" s="6">
        <v>4.6449999999999996</v>
      </c>
      <c r="I3" s="6">
        <v>4.66</v>
      </c>
      <c r="J3" s="6">
        <v>4.6749999999999998</v>
      </c>
      <c r="K3" s="6">
        <v>4.6899999999999995</v>
      </c>
      <c r="L3" s="6">
        <v>4.7050000000000001</v>
      </c>
      <c r="M3" s="6">
        <v>4.72</v>
      </c>
      <c r="N3" s="6">
        <v>4.7350000000000003</v>
      </c>
      <c r="O3" s="6">
        <v>4.75</v>
      </c>
      <c r="P3" s="6">
        <v>4.7130000000000001</v>
      </c>
      <c r="Q3" s="6">
        <v>4.6760000000000002</v>
      </c>
      <c r="R3" s="6">
        <v>4.6390000000000002</v>
      </c>
      <c r="S3" s="6">
        <v>4.6020000000000003</v>
      </c>
      <c r="T3" s="6">
        <v>4.5649999999999995</v>
      </c>
      <c r="U3" s="6">
        <v>4.5279999999999996</v>
      </c>
      <c r="V3" s="6">
        <v>4.4909999999999997</v>
      </c>
      <c r="W3" s="6">
        <v>4.4539999999999997</v>
      </c>
      <c r="X3" s="6">
        <v>4.4169999999999998</v>
      </c>
      <c r="Y3" s="6">
        <v>4.38</v>
      </c>
    </row>
    <row r="4" spans="1:25" x14ac:dyDescent="0.3">
      <c r="B4" s="1" t="s">
        <v>8</v>
      </c>
      <c r="C4" s="6">
        <v>14.212230578749224</v>
      </c>
      <c r="D4" s="6">
        <v>14.241115289374612</v>
      </c>
      <c r="E4" s="6">
        <v>14.27</v>
      </c>
      <c r="F4" s="6">
        <v>14.452</v>
      </c>
      <c r="G4" s="6">
        <v>14.634</v>
      </c>
      <c r="H4" s="6">
        <v>14.815999999999999</v>
      </c>
      <c r="I4" s="6">
        <v>14.997999999999999</v>
      </c>
      <c r="J4" s="6">
        <v>15.18</v>
      </c>
      <c r="K4" s="6">
        <v>15.362</v>
      </c>
      <c r="L4" s="6">
        <v>15.544</v>
      </c>
      <c r="M4" s="6">
        <v>15.725999999999999</v>
      </c>
      <c r="N4" s="6">
        <v>15.907999999999999</v>
      </c>
      <c r="O4" s="6">
        <v>16.09</v>
      </c>
      <c r="P4" s="6">
        <v>15.967000000000001</v>
      </c>
      <c r="Q4" s="6">
        <v>15.843999999999999</v>
      </c>
      <c r="R4" s="6">
        <v>15.721</v>
      </c>
      <c r="S4" s="6">
        <v>15.597999999999999</v>
      </c>
      <c r="T4" s="6">
        <v>15.475</v>
      </c>
      <c r="U4" s="6">
        <v>15.352</v>
      </c>
      <c r="V4" s="6">
        <v>15.228999999999999</v>
      </c>
      <c r="W4" s="6">
        <v>15.106</v>
      </c>
      <c r="X4" s="6">
        <v>14.982999999999999</v>
      </c>
      <c r="Y4" s="6">
        <v>14.86</v>
      </c>
    </row>
    <row r="5" spans="1:25" x14ac:dyDescent="0.3">
      <c r="B5" s="1" t="s">
        <v>29</v>
      </c>
      <c r="C5" s="6">
        <v>28.598700844717246</v>
      </c>
      <c r="D5" s="6">
        <v>30.599350422358626</v>
      </c>
      <c r="E5" s="6">
        <v>32.6</v>
      </c>
      <c r="F5" s="6">
        <v>32.677</v>
      </c>
      <c r="G5" s="6">
        <v>32.753999999999998</v>
      </c>
      <c r="H5" s="6">
        <v>32.831000000000003</v>
      </c>
      <c r="I5" s="6">
        <v>32.908000000000001</v>
      </c>
      <c r="J5" s="6">
        <v>32.984999999999999</v>
      </c>
      <c r="K5" s="6">
        <v>33.061999999999998</v>
      </c>
      <c r="L5" s="6">
        <v>33.138999999999996</v>
      </c>
      <c r="M5" s="6">
        <v>33.216000000000001</v>
      </c>
      <c r="N5" s="6">
        <v>33.292999999999999</v>
      </c>
      <c r="O5" s="6">
        <v>33.369999999999997</v>
      </c>
      <c r="P5" s="6">
        <v>33.184999999999995</v>
      </c>
      <c r="Q5" s="6">
        <v>33</v>
      </c>
      <c r="R5" s="6">
        <v>32.814999999999998</v>
      </c>
      <c r="S5" s="6">
        <v>32.629999999999995</v>
      </c>
      <c r="T5" s="6">
        <v>32.445</v>
      </c>
      <c r="U5" s="6">
        <v>32.26</v>
      </c>
      <c r="V5" s="6">
        <v>32.074999999999996</v>
      </c>
      <c r="W5" s="6">
        <v>31.89</v>
      </c>
      <c r="X5" s="6">
        <v>31.704999999999998</v>
      </c>
      <c r="Y5" s="6">
        <v>31.52</v>
      </c>
    </row>
    <row r="6" spans="1:25" x14ac:dyDescent="0.3">
      <c r="B6" s="1" t="s">
        <v>30</v>
      </c>
      <c r="C6" s="6">
        <v>34.44</v>
      </c>
      <c r="D6" s="6">
        <v>35.744999999999997</v>
      </c>
      <c r="E6" s="6">
        <v>37.049999999999997</v>
      </c>
      <c r="F6" s="6">
        <v>37.08</v>
      </c>
      <c r="G6" s="6">
        <v>37.11</v>
      </c>
      <c r="H6" s="6">
        <v>37.14</v>
      </c>
      <c r="I6" s="6">
        <v>37.17</v>
      </c>
      <c r="J6" s="6">
        <v>37.200000000000003</v>
      </c>
      <c r="K6" s="6">
        <v>37.229999999999997</v>
      </c>
      <c r="L6" s="6">
        <v>37.26</v>
      </c>
      <c r="M6" s="6">
        <v>37.29</v>
      </c>
      <c r="N6" s="6">
        <v>37.32</v>
      </c>
      <c r="O6" s="6">
        <v>37.35</v>
      </c>
      <c r="P6" s="6">
        <v>37.207000000000001</v>
      </c>
      <c r="Q6" s="6">
        <v>37.064</v>
      </c>
      <c r="R6" s="6">
        <v>36.920999999999999</v>
      </c>
      <c r="S6" s="6">
        <v>36.777999999999999</v>
      </c>
      <c r="T6" s="6">
        <v>36.635000000000005</v>
      </c>
      <c r="U6" s="6">
        <v>36.492000000000004</v>
      </c>
      <c r="V6" s="6">
        <v>36.349000000000004</v>
      </c>
      <c r="W6" s="6">
        <v>36.206000000000003</v>
      </c>
      <c r="X6" s="6">
        <v>36.063000000000002</v>
      </c>
      <c r="Y6" s="6">
        <v>35.92</v>
      </c>
    </row>
    <row r="7" spans="1:25" x14ac:dyDescent="0.3">
      <c r="B7" s="1" t="s">
        <v>33</v>
      </c>
      <c r="C7" s="6">
        <v>88.578668060080446</v>
      </c>
      <c r="D7" s="6">
        <v>92.479334030040221</v>
      </c>
      <c r="E7" s="6">
        <v>96.38</v>
      </c>
      <c r="F7" s="6">
        <v>96.72</v>
      </c>
      <c r="G7" s="6">
        <v>97.06</v>
      </c>
      <c r="H7" s="6">
        <v>97.4</v>
      </c>
      <c r="I7" s="6">
        <v>97.740000000000009</v>
      </c>
      <c r="J7" s="6">
        <v>98.08</v>
      </c>
      <c r="K7" s="6">
        <v>98.419999999999987</v>
      </c>
      <c r="L7" s="6">
        <v>98.759999999999991</v>
      </c>
      <c r="M7" s="6">
        <v>99.1</v>
      </c>
      <c r="N7" s="6">
        <v>99.44</v>
      </c>
      <c r="O7" s="6">
        <v>99.78</v>
      </c>
      <c r="P7" s="6">
        <v>99.257000000000005</v>
      </c>
      <c r="Q7" s="6">
        <v>98.734000000000009</v>
      </c>
      <c r="R7" s="6">
        <v>98.210999999999999</v>
      </c>
      <c r="S7" s="6">
        <v>97.687999999999988</v>
      </c>
      <c r="T7" s="6">
        <v>97.165000000000006</v>
      </c>
      <c r="U7" s="6">
        <v>96.641999999999996</v>
      </c>
      <c r="V7" s="6">
        <v>96.119</v>
      </c>
      <c r="W7" s="6">
        <v>95.596000000000004</v>
      </c>
      <c r="X7" s="6">
        <v>95.073000000000008</v>
      </c>
      <c r="Y7" s="6">
        <v>94.55</v>
      </c>
    </row>
    <row r="9" spans="1:25" x14ac:dyDescent="0.3">
      <c r="B9" s="1" t="s">
        <v>28</v>
      </c>
      <c r="C9" s="1">
        <v>2018</v>
      </c>
      <c r="D9" s="1">
        <v>2019</v>
      </c>
      <c r="E9" s="1">
        <v>2020</v>
      </c>
      <c r="F9" s="1">
        <v>2021</v>
      </c>
      <c r="G9" s="1">
        <v>2022</v>
      </c>
      <c r="H9" s="1">
        <v>2023</v>
      </c>
      <c r="I9" s="1">
        <v>2024</v>
      </c>
      <c r="J9" s="1">
        <v>2025</v>
      </c>
      <c r="K9" s="1">
        <v>2026</v>
      </c>
      <c r="L9" s="1">
        <v>2027</v>
      </c>
      <c r="M9" s="1">
        <v>2028</v>
      </c>
      <c r="N9" s="1">
        <v>2029</v>
      </c>
      <c r="O9" s="1">
        <v>2030</v>
      </c>
      <c r="P9" s="1">
        <v>2031</v>
      </c>
      <c r="Q9" s="1">
        <v>2032</v>
      </c>
      <c r="R9" s="1">
        <v>2033</v>
      </c>
      <c r="S9" s="1">
        <v>2034</v>
      </c>
      <c r="T9" s="1">
        <v>2035</v>
      </c>
      <c r="U9" s="1">
        <v>2036</v>
      </c>
      <c r="V9" s="1">
        <v>2037</v>
      </c>
      <c r="W9" s="1">
        <v>2038</v>
      </c>
      <c r="X9" s="1">
        <v>2039</v>
      </c>
      <c r="Y9" s="1">
        <v>2040</v>
      </c>
    </row>
    <row r="10" spans="1:25" x14ac:dyDescent="0.3">
      <c r="B10" s="1" t="s">
        <v>6</v>
      </c>
      <c r="C10" s="6">
        <v>7.5346377345934847</v>
      </c>
      <c r="D10" s="6">
        <v>7.6973188672967421</v>
      </c>
      <c r="E10" s="6">
        <v>7.86</v>
      </c>
      <c r="F10" s="6">
        <v>7.8960000000000008</v>
      </c>
      <c r="G10" s="6">
        <v>7.9320000000000004</v>
      </c>
      <c r="H10" s="6">
        <v>7.968</v>
      </c>
      <c r="I10" s="6">
        <v>8.0040000000000013</v>
      </c>
      <c r="J10" s="6">
        <v>8.0400000000000009</v>
      </c>
      <c r="K10" s="6">
        <v>8.0760000000000005</v>
      </c>
      <c r="L10" s="6">
        <v>8.1120000000000001</v>
      </c>
      <c r="M10" s="6">
        <v>8.1479999999999997</v>
      </c>
      <c r="N10" s="6">
        <v>8.1840000000000011</v>
      </c>
      <c r="O10" s="6">
        <v>8.2200000000000006</v>
      </c>
      <c r="P10" s="6">
        <v>8.1850000000000005</v>
      </c>
      <c r="Q10" s="6">
        <v>8.15</v>
      </c>
      <c r="R10" s="6">
        <v>8.1150000000000002</v>
      </c>
      <c r="S10" s="6">
        <v>8.08</v>
      </c>
      <c r="T10" s="6">
        <v>8.0449999999999999</v>
      </c>
      <c r="U10" s="6">
        <v>8.01</v>
      </c>
      <c r="V10" s="6">
        <v>7.9750000000000005</v>
      </c>
      <c r="W10" s="6">
        <v>7.94</v>
      </c>
      <c r="X10" s="6">
        <v>7.9050000000000002</v>
      </c>
      <c r="Y10" s="6">
        <v>7.87</v>
      </c>
    </row>
    <row r="11" spans="1:25" x14ac:dyDescent="0.3">
      <c r="B11" s="1" t="s">
        <v>7</v>
      </c>
      <c r="C11" s="6">
        <v>3.7930989020204895</v>
      </c>
      <c r="D11" s="6">
        <v>4.1965494510102443</v>
      </c>
      <c r="E11" s="6">
        <v>4.5999999999999996</v>
      </c>
      <c r="F11" s="6">
        <v>4.6149999999999993</v>
      </c>
      <c r="G11" s="6">
        <v>4.63</v>
      </c>
      <c r="H11" s="6">
        <v>4.6449999999999996</v>
      </c>
      <c r="I11" s="6">
        <v>4.66</v>
      </c>
      <c r="J11" s="6">
        <v>4.6749999999999998</v>
      </c>
      <c r="K11" s="6">
        <v>4.6899999999999995</v>
      </c>
      <c r="L11" s="6">
        <v>4.7050000000000001</v>
      </c>
      <c r="M11" s="6">
        <v>4.72</v>
      </c>
      <c r="N11" s="6">
        <v>4.7350000000000003</v>
      </c>
      <c r="O11" s="6">
        <v>4.75</v>
      </c>
      <c r="P11" s="6">
        <v>4.7130000000000001</v>
      </c>
      <c r="Q11" s="6">
        <v>4.6760000000000002</v>
      </c>
      <c r="R11" s="6">
        <v>4.6390000000000002</v>
      </c>
      <c r="S11" s="6">
        <v>4.6020000000000003</v>
      </c>
      <c r="T11" s="6">
        <v>4.5649999999999995</v>
      </c>
      <c r="U11" s="6">
        <v>4.5279999999999996</v>
      </c>
      <c r="V11" s="6">
        <v>4.4909999999999997</v>
      </c>
      <c r="W11" s="6">
        <v>4.4539999999999997</v>
      </c>
      <c r="X11" s="6">
        <v>4.4169999999999998</v>
      </c>
      <c r="Y11" s="6">
        <v>4.38</v>
      </c>
    </row>
    <row r="12" spans="1:25" x14ac:dyDescent="0.3">
      <c r="B12" s="1" t="s">
        <v>8</v>
      </c>
      <c r="C12" s="6">
        <v>14.212230578749224</v>
      </c>
      <c r="D12" s="6">
        <v>14.241115289374612</v>
      </c>
      <c r="E12" s="6">
        <v>14.27</v>
      </c>
      <c r="F12" s="6">
        <v>14.452</v>
      </c>
      <c r="G12" s="6">
        <v>14.634</v>
      </c>
      <c r="H12" s="6">
        <v>14.815999999999999</v>
      </c>
      <c r="I12" s="6">
        <v>14.997999999999999</v>
      </c>
      <c r="J12" s="6">
        <v>15.18</v>
      </c>
      <c r="K12" s="6">
        <v>15.362</v>
      </c>
      <c r="L12" s="6">
        <v>15.544</v>
      </c>
      <c r="M12" s="6">
        <v>15.725999999999999</v>
      </c>
      <c r="N12" s="6">
        <v>15.907999999999999</v>
      </c>
      <c r="O12" s="6">
        <v>16.09</v>
      </c>
      <c r="P12" s="6">
        <v>15.967000000000001</v>
      </c>
      <c r="Q12" s="6">
        <v>15.843999999999999</v>
      </c>
      <c r="R12" s="6">
        <v>15.721</v>
      </c>
      <c r="S12" s="6">
        <v>15.597999999999999</v>
      </c>
      <c r="T12" s="6">
        <v>15.475</v>
      </c>
      <c r="U12" s="6">
        <v>15.352</v>
      </c>
      <c r="V12" s="6">
        <v>15.228999999999999</v>
      </c>
      <c r="W12" s="6">
        <v>15.106</v>
      </c>
      <c r="X12" s="6">
        <v>14.982999999999999</v>
      </c>
      <c r="Y12" s="6">
        <v>14.86</v>
      </c>
    </row>
    <row r="13" spans="1:25" x14ac:dyDescent="0.3">
      <c r="B13" s="1" t="s">
        <v>29</v>
      </c>
      <c r="C13" s="6">
        <v>28.598700844717246</v>
      </c>
      <c r="D13" s="6">
        <v>30.599350422358626</v>
      </c>
      <c r="E13" s="6">
        <v>32.6</v>
      </c>
      <c r="F13" s="6">
        <v>32.677</v>
      </c>
      <c r="G13" s="6">
        <v>32.753999999999998</v>
      </c>
      <c r="H13" s="6">
        <v>32.831000000000003</v>
      </c>
      <c r="I13" s="6">
        <v>32.908000000000001</v>
      </c>
      <c r="J13" s="6">
        <v>32.984999999999999</v>
      </c>
      <c r="K13" s="6">
        <v>33.061999999999998</v>
      </c>
      <c r="L13" s="6">
        <v>33.138999999999996</v>
      </c>
      <c r="M13" s="6">
        <v>33.216000000000001</v>
      </c>
      <c r="N13" s="6">
        <v>33.292999999999999</v>
      </c>
      <c r="O13" s="6">
        <v>33.369999999999997</v>
      </c>
      <c r="P13" s="6">
        <v>33.184999999999995</v>
      </c>
      <c r="Q13" s="6">
        <v>33</v>
      </c>
      <c r="R13" s="6">
        <v>32.814999999999998</v>
      </c>
      <c r="S13" s="6">
        <v>32.629999999999995</v>
      </c>
      <c r="T13" s="6">
        <v>32.445</v>
      </c>
      <c r="U13" s="6">
        <v>32.26</v>
      </c>
      <c r="V13" s="6">
        <v>32.074999999999996</v>
      </c>
      <c r="W13" s="6">
        <v>31.89</v>
      </c>
      <c r="X13" s="6">
        <v>31.704999999999998</v>
      </c>
      <c r="Y13" s="6">
        <v>31.52</v>
      </c>
    </row>
    <row r="14" spans="1:25" x14ac:dyDescent="0.3">
      <c r="B14" s="1" t="s">
        <v>38</v>
      </c>
      <c r="C14" s="6">
        <v>34.44</v>
      </c>
      <c r="D14" s="6">
        <v>34.119999999999997</v>
      </c>
      <c r="E14" s="6">
        <v>33.799999999999997</v>
      </c>
      <c r="F14" s="6">
        <v>32.512</v>
      </c>
      <c r="G14" s="6">
        <v>31.223999999999997</v>
      </c>
      <c r="H14" s="6">
        <v>29.936</v>
      </c>
      <c r="I14" s="6">
        <v>28.648</v>
      </c>
      <c r="J14" s="6">
        <v>27.36</v>
      </c>
      <c r="K14" s="6">
        <v>26.071999999999999</v>
      </c>
      <c r="L14" s="6">
        <v>24.783999999999999</v>
      </c>
      <c r="M14" s="6">
        <v>23.496000000000002</v>
      </c>
      <c r="N14" s="6">
        <v>22.207999999999998</v>
      </c>
      <c r="O14" s="6">
        <v>20.92</v>
      </c>
      <c r="P14" s="6">
        <v>20.377000000000002</v>
      </c>
      <c r="Q14" s="6">
        <v>19.834000000000003</v>
      </c>
      <c r="R14" s="6">
        <v>19.291</v>
      </c>
      <c r="S14" s="6">
        <v>18.748000000000001</v>
      </c>
      <c r="T14" s="6">
        <v>18.205000000000002</v>
      </c>
      <c r="U14" s="6">
        <v>17.661999999999999</v>
      </c>
      <c r="V14" s="6">
        <v>17.119</v>
      </c>
      <c r="W14" s="6">
        <v>16.576000000000001</v>
      </c>
      <c r="X14" s="6">
        <v>16.033000000000001</v>
      </c>
      <c r="Y14" s="6">
        <v>15.49</v>
      </c>
    </row>
    <row r="15" spans="1:25" x14ac:dyDescent="0.3">
      <c r="B15" s="1" t="s">
        <v>31</v>
      </c>
      <c r="C15" s="6">
        <v>88.578668060080446</v>
      </c>
      <c r="D15" s="6">
        <v>90.854334030040221</v>
      </c>
      <c r="E15" s="6">
        <v>93.13</v>
      </c>
      <c r="F15" s="6">
        <v>92.152000000000001</v>
      </c>
      <c r="G15" s="6">
        <v>91.174000000000007</v>
      </c>
      <c r="H15" s="6">
        <v>90.195999999999998</v>
      </c>
      <c r="I15" s="6">
        <v>89.218000000000004</v>
      </c>
      <c r="J15" s="6">
        <v>88.24</v>
      </c>
      <c r="K15" s="6">
        <v>87.262</v>
      </c>
      <c r="L15" s="6">
        <v>86.283999999999992</v>
      </c>
      <c r="M15" s="6">
        <v>85.306000000000012</v>
      </c>
      <c r="N15" s="6">
        <v>84.328000000000003</v>
      </c>
      <c r="O15" s="6">
        <v>83.35</v>
      </c>
      <c r="P15" s="6">
        <v>82.426999999999992</v>
      </c>
      <c r="Q15" s="6">
        <v>81.504000000000005</v>
      </c>
      <c r="R15" s="6">
        <v>80.581000000000003</v>
      </c>
      <c r="S15" s="6">
        <v>79.658000000000001</v>
      </c>
      <c r="T15" s="6">
        <v>78.734999999999999</v>
      </c>
      <c r="U15" s="6">
        <v>77.811999999999998</v>
      </c>
      <c r="V15" s="6">
        <v>76.888999999999996</v>
      </c>
      <c r="W15" s="6">
        <v>75.966000000000008</v>
      </c>
      <c r="X15" s="6">
        <v>75.043000000000006</v>
      </c>
      <c r="Y15" s="6">
        <v>74.11999999999999</v>
      </c>
    </row>
    <row r="17" spans="2:26" x14ac:dyDescent="0.3">
      <c r="B17" s="1" t="s">
        <v>34</v>
      </c>
      <c r="C17" s="1">
        <v>2018</v>
      </c>
      <c r="D17" s="1">
        <v>2019</v>
      </c>
      <c r="E17" s="1">
        <v>2020</v>
      </c>
      <c r="F17" s="1">
        <v>2021</v>
      </c>
      <c r="G17" s="1">
        <v>2022</v>
      </c>
      <c r="H17" s="1">
        <v>2023</v>
      </c>
      <c r="I17" s="1">
        <v>2024</v>
      </c>
      <c r="J17" s="1">
        <v>2025</v>
      </c>
      <c r="K17" s="1">
        <v>2026</v>
      </c>
      <c r="L17" s="1">
        <v>2027</v>
      </c>
      <c r="M17" s="1">
        <v>2028</v>
      </c>
      <c r="N17" s="1">
        <v>2029</v>
      </c>
      <c r="O17" s="1">
        <v>2030</v>
      </c>
      <c r="P17" s="1">
        <v>2031</v>
      </c>
      <c r="Q17" s="1">
        <v>2032</v>
      </c>
      <c r="R17" s="1">
        <v>2033</v>
      </c>
      <c r="S17" s="1">
        <v>2034</v>
      </c>
      <c r="T17" s="1">
        <v>2035</v>
      </c>
      <c r="U17" s="1">
        <v>2036</v>
      </c>
      <c r="V17" s="1">
        <v>2037</v>
      </c>
      <c r="W17" s="1">
        <v>2038</v>
      </c>
      <c r="X17" s="1">
        <v>2039</v>
      </c>
      <c r="Y17" s="1">
        <v>2040</v>
      </c>
    </row>
    <row r="18" spans="2:26" x14ac:dyDescent="0.3">
      <c r="B18" s="1" t="s">
        <v>6</v>
      </c>
      <c r="C18" s="6">
        <v>7.5346377345934847</v>
      </c>
      <c r="D18" s="6">
        <v>7.6973188672967421</v>
      </c>
      <c r="E18" s="6">
        <v>7.86</v>
      </c>
      <c r="F18" s="6">
        <v>7.8960000000000008</v>
      </c>
      <c r="G18" s="6">
        <v>7.9320000000000004</v>
      </c>
      <c r="H18" s="6">
        <v>7.968</v>
      </c>
      <c r="I18" s="6">
        <v>8.0040000000000013</v>
      </c>
      <c r="J18" s="6">
        <v>8.0400000000000009</v>
      </c>
      <c r="K18" s="6">
        <v>8.0760000000000005</v>
      </c>
      <c r="L18" s="6">
        <v>8.1120000000000001</v>
      </c>
      <c r="M18" s="6">
        <v>8.1479999999999997</v>
      </c>
      <c r="N18" s="6">
        <v>8.1840000000000011</v>
      </c>
      <c r="O18" s="6">
        <v>8.2200000000000006</v>
      </c>
      <c r="P18" s="6">
        <v>8.1850000000000005</v>
      </c>
      <c r="Q18" s="6">
        <v>8.15</v>
      </c>
      <c r="R18" s="6">
        <v>8.1150000000000002</v>
      </c>
      <c r="S18" s="6">
        <v>8.08</v>
      </c>
      <c r="T18" s="6">
        <v>8.0449999999999999</v>
      </c>
      <c r="U18" s="6">
        <v>8.01</v>
      </c>
      <c r="V18" s="6">
        <v>7.9750000000000005</v>
      </c>
      <c r="W18" s="6">
        <v>7.94</v>
      </c>
      <c r="X18" s="6">
        <v>7.9050000000000002</v>
      </c>
      <c r="Y18" s="6">
        <v>7.87</v>
      </c>
    </row>
    <row r="19" spans="2:26" x14ac:dyDescent="0.3">
      <c r="B19" s="1" t="s">
        <v>7</v>
      </c>
      <c r="C19" s="6">
        <v>3.7930989020204895</v>
      </c>
      <c r="D19" s="6">
        <v>4.1965494510102443</v>
      </c>
      <c r="E19" s="6">
        <v>4.5999999999999996</v>
      </c>
      <c r="F19" s="6">
        <v>4.6149999999999993</v>
      </c>
      <c r="G19" s="6">
        <v>4.63</v>
      </c>
      <c r="H19" s="6">
        <v>4.6449999999999996</v>
      </c>
      <c r="I19" s="6">
        <v>4.66</v>
      </c>
      <c r="J19" s="6">
        <v>4.6749999999999998</v>
      </c>
      <c r="K19" s="6">
        <v>4.6899999999999995</v>
      </c>
      <c r="L19" s="6">
        <v>4.7050000000000001</v>
      </c>
      <c r="M19" s="6">
        <v>4.72</v>
      </c>
      <c r="N19" s="6">
        <v>4.7350000000000003</v>
      </c>
      <c r="O19" s="6">
        <v>4.75</v>
      </c>
      <c r="P19" s="6">
        <v>4.7130000000000001</v>
      </c>
      <c r="Q19" s="6">
        <v>4.6760000000000002</v>
      </c>
      <c r="R19" s="6">
        <v>4.6390000000000002</v>
      </c>
      <c r="S19" s="6">
        <v>4.6020000000000003</v>
      </c>
      <c r="T19" s="6">
        <v>4.5649999999999995</v>
      </c>
      <c r="U19" s="6">
        <v>4.5279999999999996</v>
      </c>
      <c r="V19" s="6">
        <v>4.4909999999999997</v>
      </c>
      <c r="W19" s="6">
        <v>4.4539999999999997</v>
      </c>
      <c r="X19" s="6">
        <v>4.4169999999999998</v>
      </c>
      <c r="Y19" s="6">
        <v>4.38</v>
      </c>
    </row>
    <row r="20" spans="2:26" x14ac:dyDescent="0.3">
      <c r="B20" s="1" t="s">
        <v>8</v>
      </c>
      <c r="C20" s="6">
        <v>14.212230578749224</v>
      </c>
      <c r="D20" s="6">
        <v>14.241115289374612</v>
      </c>
      <c r="E20" s="6">
        <v>14.27</v>
      </c>
      <c r="F20" s="6">
        <v>14.452</v>
      </c>
      <c r="G20" s="6">
        <v>14.634</v>
      </c>
      <c r="H20" s="6">
        <v>14.815999999999999</v>
      </c>
      <c r="I20" s="6">
        <v>14.997999999999999</v>
      </c>
      <c r="J20" s="6">
        <v>15.18</v>
      </c>
      <c r="K20" s="6">
        <v>15.362</v>
      </c>
      <c r="L20" s="6">
        <v>15.544</v>
      </c>
      <c r="M20" s="6">
        <v>15.725999999999999</v>
      </c>
      <c r="N20" s="6">
        <v>15.907999999999999</v>
      </c>
      <c r="O20" s="6">
        <v>16.09</v>
      </c>
      <c r="P20" s="6">
        <v>15.967000000000001</v>
      </c>
      <c r="Q20" s="6">
        <v>15.843999999999999</v>
      </c>
      <c r="R20" s="6">
        <v>15.721</v>
      </c>
      <c r="S20" s="6">
        <v>15.597999999999999</v>
      </c>
      <c r="T20" s="6">
        <v>15.475</v>
      </c>
      <c r="U20" s="6">
        <v>15.352</v>
      </c>
      <c r="V20" s="6">
        <v>15.228999999999999</v>
      </c>
      <c r="W20" s="6">
        <v>15.106</v>
      </c>
      <c r="X20" s="6">
        <v>14.982999999999999</v>
      </c>
      <c r="Y20" s="6">
        <v>14.86</v>
      </c>
    </row>
    <row r="21" spans="2:26" x14ac:dyDescent="0.3">
      <c r="B21" s="1" t="s">
        <v>37</v>
      </c>
      <c r="C21" s="6">
        <v>28.598700844717246</v>
      </c>
      <c r="D21" s="6">
        <v>29.704610822358624</v>
      </c>
      <c r="E21" s="6">
        <v>30.810520800000003</v>
      </c>
      <c r="F21" s="6">
        <v>29.617463232000002</v>
      </c>
      <c r="G21" s="6">
        <v>28.424405664000002</v>
      </c>
      <c r="H21" s="6">
        <v>27.231348096000001</v>
      </c>
      <c r="I21" s="6">
        <v>26.038290528000005</v>
      </c>
      <c r="J21" s="6">
        <v>24.845232960000004</v>
      </c>
      <c r="K21" s="6">
        <v>23.652175392000004</v>
      </c>
      <c r="L21" s="6">
        <v>22.459117824000003</v>
      </c>
      <c r="M21" s="6">
        <v>21.266060256000003</v>
      </c>
      <c r="N21" s="6">
        <v>20.073002688000003</v>
      </c>
      <c r="O21" s="6">
        <v>18.879945120000002</v>
      </c>
      <c r="P21" s="6">
        <v>17.568489232000001</v>
      </c>
      <c r="Q21" s="6">
        <v>16.257033344</v>
      </c>
      <c r="R21" s="6">
        <v>14.945577456000001</v>
      </c>
      <c r="S21" s="6">
        <v>13.634121568000001</v>
      </c>
      <c r="T21" s="6">
        <v>12.32266568</v>
      </c>
      <c r="U21" s="6">
        <v>11.011209791999999</v>
      </c>
      <c r="V21" s="6">
        <v>9.6997539039999996</v>
      </c>
      <c r="W21" s="6">
        <v>8.3882980159999985</v>
      </c>
      <c r="X21" s="6">
        <v>7.0768421279999973</v>
      </c>
      <c r="Y21" s="6">
        <v>5.7653862399999989</v>
      </c>
    </row>
    <row r="22" spans="2:26" x14ac:dyDescent="0.3">
      <c r="B22" s="1" t="s">
        <v>38</v>
      </c>
      <c r="C22" s="6">
        <v>34.44</v>
      </c>
      <c r="D22" s="6">
        <v>35.17</v>
      </c>
      <c r="E22" s="6">
        <v>35.9</v>
      </c>
      <c r="F22" s="6">
        <v>34.420999999999999</v>
      </c>
      <c r="G22" s="6">
        <v>32.942</v>
      </c>
      <c r="H22" s="6">
        <v>31.463000000000001</v>
      </c>
      <c r="I22" s="6">
        <v>29.983999999999998</v>
      </c>
      <c r="J22" s="6">
        <v>28.504999999999999</v>
      </c>
      <c r="K22" s="6">
        <v>27.026</v>
      </c>
      <c r="L22" s="6">
        <v>25.546999999999997</v>
      </c>
      <c r="M22" s="6">
        <v>24.067999999999998</v>
      </c>
      <c r="N22" s="6">
        <v>22.588999999999999</v>
      </c>
      <c r="O22" s="6">
        <v>21.11</v>
      </c>
      <c r="P22" s="6">
        <v>20.867999999999999</v>
      </c>
      <c r="Q22" s="6">
        <v>20.626000000000001</v>
      </c>
      <c r="R22" s="6">
        <v>20.384</v>
      </c>
      <c r="S22" s="6">
        <v>20.141999999999999</v>
      </c>
      <c r="T22" s="6">
        <v>19.899999999999999</v>
      </c>
      <c r="U22" s="6">
        <v>19.658000000000001</v>
      </c>
      <c r="V22" s="6">
        <v>19.416</v>
      </c>
      <c r="W22" s="6">
        <v>19.173999999999999</v>
      </c>
      <c r="X22" s="6">
        <v>18.932000000000002</v>
      </c>
      <c r="Y22" s="6">
        <v>18.690000000000001</v>
      </c>
    </row>
    <row r="23" spans="2:26" x14ac:dyDescent="0.3">
      <c r="B23" s="1" t="s">
        <v>35</v>
      </c>
      <c r="C23" s="6">
        <v>88.578668060080446</v>
      </c>
      <c r="D23" s="6">
        <v>91.009594430040224</v>
      </c>
      <c r="E23" s="6">
        <v>93.440520800000002</v>
      </c>
      <c r="F23" s="6">
        <v>91.001463231999992</v>
      </c>
      <c r="G23" s="6">
        <v>88.562405664000011</v>
      </c>
      <c r="H23" s="6">
        <v>86.123348096000001</v>
      </c>
      <c r="I23" s="6">
        <v>83.684290528000005</v>
      </c>
      <c r="J23" s="6">
        <v>81.245232959999996</v>
      </c>
      <c r="K23" s="6">
        <v>78.806175392</v>
      </c>
      <c r="L23" s="6">
        <v>76.367117824000005</v>
      </c>
      <c r="M23" s="6">
        <v>73.928060255999995</v>
      </c>
      <c r="N23" s="6">
        <v>71.489002687999999</v>
      </c>
      <c r="O23" s="6">
        <v>69.049945120000004</v>
      </c>
      <c r="P23" s="6">
        <v>67.301489231999994</v>
      </c>
      <c r="Q23" s="6">
        <v>65.553033343999999</v>
      </c>
      <c r="R23" s="6">
        <v>63.804577456000004</v>
      </c>
      <c r="S23" s="6">
        <v>62.056121567999995</v>
      </c>
      <c r="T23" s="6">
        <v>60.307665679999999</v>
      </c>
      <c r="U23" s="6">
        <v>58.559209792000004</v>
      </c>
      <c r="V23" s="6">
        <v>56.810753903999995</v>
      </c>
      <c r="W23" s="6">
        <v>55.062298016</v>
      </c>
      <c r="X23" s="6">
        <v>53.313842127999997</v>
      </c>
      <c r="Y23" s="6">
        <v>51.565386239999995</v>
      </c>
    </row>
    <row r="24" spans="2:26" x14ac:dyDescent="0.3"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6" x14ac:dyDescent="0.3">
      <c r="C25" s="1">
        <v>2018</v>
      </c>
      <c r="D25" s="1">
        <v>2019</v>
      </c>
      <c r="E25" s="1">
        <v>2020</v>
      </c>
      <c r="F25" s="1">
        <v>2021</v>
      </c>
      <c r="G25" s="1">
        <v>2022</v>
      </c>
      <c r="H25" s="1">
        <v>2023</v>
      </c>
      <c r="I25" s="1">
        <v>2024</v>
      </c>
      <c r="J25" s="1">
        <v>2025</v>
      </c>
      <c r="K25" s="1">
        <v>2026</v>
      </c>
      <c r="L25" s="1">
        <v>2027</v>
      </c>
      <c r="M25" s="1">
        <v>2028</v>
      </c>
      <c r="N25" s="1">
        <v>2029</v>
      </c>
      <c r="O25" s="1">
        <v>2030</v>
      </c>
      <c r="P25" s="1">
        <v>2031</v>
      </c>
      <c r="Q25" s="1">
        <v>2032</v>
      </c>
      <c r="R25" s="1">
        <v>2033</v>
      </c>
      <c r="S25" s="1">
        <v>2034</v>
      </c>
      <c r="T25" s="1">
        <v>2035</v>
      </c>
      <c r="U25" s="1">
        <v>2036</v>
      </c>
      <c r="V25" s="1">
        <v>2037</v>
      </c>
      <c r="W25" s="1">
        <v>2038</v>
      </c>
      <c r="X25" s="1">
        <v>2039</v>
      </c>
      <c r="Y25" s="1">
        <v>2040</v>
      </c>
    </row>
    <row r="26" spans="2:26" x14ac:dyDescent="0.3">
      <c r="B26" s="1" t="s">
        <v>39</v>
      </c>
      <c r="C26" s="6">
        <v>0</v>
      </c>
      <c r="D26" s="6">
        <v>1.625</v>
      </c>
      <c r="E26" s="6">
        <v>3.25</v>
      </c>
      <c r="F26" s="6">
        <v>4.5679999999999978</v>
      </c>
      <c r="G26" s="6">
        <v>5.8859999999999957</v>
      </c>
      <c r="H26" s="6">
        <v>7.2040000000000077</v>
      </c>
      <c r="I26" s="6">
        <v>8.5220000000000056</v>
      </c>
      <c r="J26" s="6">
        <v>9.8400000000000034</v>
      </c>
      <c r="K26" s="6">
        <v>11.157999999999987</v>
      </c>
      <c r="L26" s="6">
        <v>12.475999999999999</v>
      </c>
      <c r="M26" s="6">
        <v>13.793999999999983</v>
      </c>
      <c r="N26" s="6">
        <v>15.111999999999995</v>
      </c>
      <c r="O26" s="6">
        <v>16.430000000000007</v>
      </c>
      <c r="P26" s="6">
        <v>16.830000000000013</v>
      </c>
      <c r="Q26" s="6">
        <v>17.230000000000004</v>
      </c>
      <c r="R26" s="6">
        <v>17.629999999999995</v>
      </c>
      <c r="S26" s="6">
        <f t="shared" ref="S26:Y26" si="0">S7-S15</f>
        <v>18.029999999999987</v>
      </c>
      <c r="T26" s="6">
        <f t="shared" si="0"/>
        <v>18.430000000000007</v>
      </c>
      <c r="U26" s="6">
        <f t="shared" si="0"/>
        <v>18.829999999999998</v>
      </c>
      <c r="V26" s="6">
        <f t="shared" si="0"/>
        <v>19.230000000000004</v>
      </c>
      <c r="W26" s="6">
        <f t="shared" si="0"/>
        <v>19.629999999999995</v>
      </c>
      <c r="X26" s="6">
        <f t="shared" si="0"/>
        <v>20.03</v>
      </c>
      <c r="Y26" s="6">
        <f t="shared" si="0"/>
        <v>20.430000000000007</v>
      </c>
    </row>
    <row r="27" spans="2:26" x14ac:dyDescent="0.3">
      <c r="B27" s="1" t="s">
        <v>40</v>
      </c>
      <c r="C27" s="6">
        <v>0</v>
      </c>
      <c r="D27" s="6">
        <v>0</v>
      </c>
      <c r="E27" s="6">
        <v>0</v>
      </c>
      <c r="F27" s="6">
        <v>1.1505367680000091</v>
      </c>
      <c r="G27" s="6">
        <v>2.611594335999996</v>
      </c>
      <c r="H27" s="6">
        <v>4.0726519039999971</v>
      </c>
      <c r="I27" s="6">
        <v>5.5337094719999982</v>
      </c>
      <c r="J27" s="6">
        <v>6.9947670399999993</v>
      </c>
      <c r="K27" s="6">
        <v>8.4558246080000004</v>
      </c>
      <c r="L27" s="6">
        <v>9.9168821759999872</v>
      </c>
      <c r="M27" s="6">
        <v>11.377939744000017</v>
      </c>
      <c r="N27" s="6">
        <v>12.838997312000004</v>
      </c>
      <c r="O27" s="6">
        <v>14.30005487999999</v>
      </c>
      <c r="P27" s="6">
        <v>15.125510767999998</v>
      </c>
      <c r="Q27" s="6">
        <v>15.950966656000006</v>
      </c>
      <c r="R27" s="6">
        <v>16.776422543999999</v>
      </c>
      <c r="S27" s="6">
        <f t="shared" ref="S27:Y27" si="1">IF(S15-S28&gt;0,S15-S28,0)</f>
        <v>17.601878432000007</v>
      </c>
      <c r="T27" s="6">
        <f t="shared" si="1"/>
        <v>18.42733432</v>
      </c>
      <c r="U27" s="6">
        <f t="shared" si="1"/>
        <v>19.252790207999993</v>
      </c>
      <c r="V27" s="6">
        <f t="shared" si="1"/>
        <v>20.078246096000001</v>
      </c>
      <c r="W27" s="6">
        <f t="shared" si="1"/>
        <v>20.903701984000008</v>
      </c>
      <c r="X27" s="6">
        <f t="shared" si="1"/>
        <v>21.729157872000009</v>
      </c>
      <c r="Y27" s="6">
        <f t="shared" si="1"/>
        <v>22.554613759999995</v>
      </c>
      <c r="Z27" s="6"/>
    </row>
    <row r="28" spans="2:26" x14ac:dyDescent="0.3">
      <c r="B28" s="1" t="s">
        <v>41</v>
      </c>
      <c r="C28" s="6">
        <v>88.578668060080446</v>
      </c>
      <c r="D28" s="6">
        <v>91.009594430040224</v>
      </c>
      <c r="E28" s="6">
        <v>93.440520800000002</v>
      </c>
      <c r="F28" s="6">
        <v>91.001463231999992</v>
      </c>
      <c r="G28" s="6">
        <v>88.562405664000011</v>
      </c>
      <c r="H28" s="6">
        <v>86.123348096000001</v>
      </c>
      <c r="I28" s="6">
        <v>83.684290528000005</v>
      </c>
      <c r="J28" s="6">
        <v>81.245232959999996</v>
      </c>
      <c r="K28" s="6">
        <v>78.806175392</v>
      </c>
      <c r="L28" s="6">
        <v>76.367117824000005</v>
      </c>
      <c r="M28" s="6">
        <v>73.928060255999995</v>
      </c>
      <c r="N28" s="6">
        <v>71.489002687999999</v>
      </c>
      <c r="O28" s="6">
        <v>69.049945120000004</v>
      </c>
      <c r="P28" s="6">
        <v>67.301489231999994</v>
      </c>
      <c r="Q28" s="6">
        <v>65.553033343999999</v>
      </c>
      <c r="R28" s="6">
        <v>63.804577456000004</v>
      </c>
      <c r="S28" s="6">
        <f t="shared" ref="S28:Y28" si="2">S23</f>
        <v>62.056121567999995</v>
      </c>
      <c r="T28" s="6">
        <f t="shared" si="2"/>
        <v>60.307665679999999</v>
      </c>
      <c r="U28" s="6">
        <f t="shared" si="2"/>
        <v>58.559209792000004</v>
      </c>
      <c r="V28" s="6">
        <f t="shared" si="2"/>
        <v>56.810753903999995</v>
      </c>
      <c r="W28" s="6">
        <f t="shared" si="2"/>
        <v>55.062298016</v>
      </c>
      <c r="X28" s="6">
        <f t="shared" si="2"/>
        <v>53.313842127999997</v>
      </c>
      <c r="Y28" s="6">
        <f t="shared" si="2"/>
        <v>51.565386239999995</v>
      </c>
      <c r="Z28" s="20"/>
    </row>
    <row r="30" spans="2:26" x14ac:dyDescent="0.3">
      <c r="B30" s="1" t="s">
        <v>39</v>
      </c>
      <c r="C30" s="2">
        <v>0</v>
      </c>
      <c r="D30" s="2">
        <v>1.7203048909591363E-2</v>
      </c>
      <c r="E30" s="2">
        <v>3.4406097819182725E-2</v>
      </c>
      <c r="F30" s="2">
        <v>4.835909379631588E-2</v>
      </c>
      <c r="G30" s="2">
        <v>6.2312089773449035E-2</v>
      </c>
      <c r="H30" s="2">
        <v>7.6265085750582343E-2</v>
      </c>
      <c r="I30" s="2">
        <v>9.0218081727715504E-2</v>
      </c>
      <c r="J30" s="2">
        <v>0.10417107770484865</v>
      </c>
      <c r="K30" s="2">
        <v>0.11812407368198166</v>
      </c>
      <c r="L30" s="2">
        <v>0.13207706965911498</v>
      </c>
      <c r="M30" s="2">
        <v>0.14603006563624799</v>
      </c>
      <c r="N30" s="2">
        <v>0.15998306161338127</v>
      </c>
      <c r="O30" s="2">
        <v>0.17393605759051459</v>
      </c>
      <c r="P30" s="2">
        <v>0.1781706542451833</v>
      </c>
      <c r="Q30" s="2">
        <v>0.18240525089985185</v>
      </c>
      <c r="R30" s="2">
        <v>0.1866398475545204</v>
      </c>
      <c r="S30" s="2">
        <f t="shared" ref="S30:Y30" si="3">S26/94.46</f>
        <v>0.19087444420918895</v>
      </c>
      <c r="T30" s="2">
        <f t="shared" si="3"/>
        <v>0.1951090408638578</v>
      </c>
      <c r="U30" s="2">
        <f t="shared" si="3"/>
        <v>0.19934363751852635</v>
      </c>
      <c r="V30" s="2">
        <f t="shared" si="3"/>
        <v>0.20357823417319507</v>
      </c>
      <c r="W30" s="2">
        <f t="shared" si="3"/>
        <v>0.20781283082786361</v>
      </c>
      <c r="X30" s="2">
        <f t="shared" si="3"/>
        <v>0.2120474274825323</v>
      </c>
      <c r="Y30" s="2">
        <f t="shared" si="3"/>
        <v>0.21628202413720102</v>
      </c>
    </row>
    <row r="31" spans="2:26" x14ac:dyDescent="0.3">
      <c r="B31" s="1" t="s">
        <v>40</v>
      </c>
      <c r="C31" s="2">
        <v>0</v>
      </c>
      <c r="D31" s="2">
        <v>0</v>
      </c>
      <c r="E31" s="2">
        <v>0</v>
      </c>
      <c r="F31" s="2">
        <v>1.2180147872115278E-2</v>
      </c>
      <c r="G31" s="2">
        <v>2.7647621596442899E-2</v>
      </c>
      <c r="H31" s="2">
        <v>4.3115095320770666E-2</v>
      </c>
      <c r="I31" s="2">
        <v>5.858256904509844E-2</v>
      </c>
      <c r="J31" s="2">
        <v>7.4050042769426214E-2</v>
      </c>
      <c r="K31" s="2">
        <v>8.9517516493753974E-2</v>
      </c>
      <c r="L31" s="2">
        <v>0.10498499021808159</v>
      </c>
      <c r="M31" s="2">
        <v>0.12045246394240967</v>
      </c>
      <c r="N31" s="2">
        <v>0.13591993766673729</v>
      </c>
      <c r="O31" s="2">
        <v>0.1513874113910649</v>
      </c>
      <c r="P31" s="2">
        <v>0.16012609324581834</v>
      </c>
      <c r="Q31" s="2">
        <v>0.16886477510057174</v>
      </c>
      <c r="R31" s="2">
        <v>0.17760345695532501</v>
      </c>
      <c r="S31" s="2">
        <f t="shared" ref="S31:Y31" si="4">S27/94.46</f>
        <v>0.18634213881007841</v>
      </c>
      <c r="T31" s="2">
        <f t="shared" si="4"/>
        <v>0.19508082066483168</v>
      </c>
      <c r="U31" s="2">
        <f t="shared" si="4"/>
        <v>0.20381950251958494</v>
      </c>
      <c r="V31" s="2">
        <f t="shared" si="4"/>
        <v>0.21255818437433838</v>
      </c>
      <c r="W31" s="2">
        <f t="shared" si="4"/>
        <v>0.22129686622909178</v>
      </c>
      <c r="X31" s="2">
        <f t="shared" si="4"/>
        <v>0.23003554808384513</v>
      </c>
      <c r="Y31" s="2">
        <f t="shared" si="4"/>
        <v>0.23877422993859831</v>
      </c>
    </row>
    <row r="32" spans="2:26" x14ac:dyDescent="0.3">
      <c r="B32" s="1" t="s">
        <v>41</v>
      </c>
      <c r="C32" s="2">
        <v>0.93773732860555215</v>
      </c>
      <c r="D32" s="2">
        <v>0.96347231029049574</v>
      </c>
      <c r="E32" s="2">
        <v>0.98920729197543944</v>
      </c>
      <c r="F32" s="2">
        <v>0.96338622943044672</v>
      </c>
      <c r="G32" s="2">
        <v>0.93756516688545433</v>
      </c>
      <c r="H32" s="2">
        <v>0.9117441043404616</v>
      </c>
      <c r="I32" s="2">
        <v>0.8859230417954691</v>
      </c>
      <c r="J32" s="2">
        <v>0.86010197925047638</v>
      </c>
      <c r="K32" s="2">
        <v>0.83428091670548388</v>
      </c>
      <c r="L32" s="2">
        <v>0.80845985416049126</v>
      </c>
      <c r="M32" s="2">
        <v>0.78263879161549865</v>
      </c>
      <c r="N32" s="2">
        <v>0.75681772907050604</v>
      </c>
      <c r="O32" s="2">
        <v>0.73099666652551354</v>
      </c>
      <c r="P32" s="2">
        <v>0.71248665289011226</v>
      </c>
      <c r="Q32" s="2">
        <v>0.69397663925471098</v>
      </c>
      <c r="R32" s="2">
        <v>0.67546662561930981</v>
      </c>
      <c r="S32" s="2">
        <f t="shared" ref="S32:Y32" si="5">S28/94.46</f>
        <v>0.65695661198390853</v>
      </c>
      <c r="T32" s="2">
        <f t="shared" si="5"/>
        <v>0.63844659834850737</v>
      </c>
      <c r="U32" s="2">
        <f t="shared" si="5"/>
        <v>0.6199365847131062</v>
      </c>
      <c r="V32" s="2">
        <f t="shared" si="5"/>
        <v>0.60142657107770481</v>
      </c>
      <c r="W32" s="2">
        <f t="shared" si="5"/>
        <v>0.58291655744230364</v>
      </c>
      <c r="X32" s="2">
        <f t="shared" si="5"/>
        <v>0.56440654380690236</v>
      </c>
      <c r="Y32" s="2">
        <f t="shared" si="5"/>
        <v>0.54589653017150119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F380C65B1B645882CE28987B40543" ma:contentTypeVersion="10" ma:contentTypeDescription="Create a new document." ma:contentTypeScope="" ma:versionID="f324234e010a58dc47f8e82e8df050c1">
  <xsd:schema xmlns:xsd="http://www.w3.org/2001/XMLSchema" xmlns:xs="http://www.w3.org/2001/XMLSchema" xmlns:p="http://schemas.microsoft.com/office/2006/metadata/properties" xmlns:ns3="9f105200-ffb2-48f1-bbb4-6b76122415d5" targetNamespace="http://schemas.microsoft.com/office/2006/metadata/properties" ma:root="true" ma:fieldsID="7ed14fe7f4e89128da5571b7e1fe550f" ns3:_="">
    <xsd:import namespace="9f105200-ffb2-48f1-bbb4-6b7612241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05200-ffb2-48f1-bbb4-6b7612241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55664-216B-407F-A93E-EBB67EDB7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05200-ffb2-48f1-bbb4-6b7612241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166E89-36E0-423D-85B4-ED683110D0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0420BB-03B3-452A-85B7-F344A042D4CC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f105200-ffb2-48f1-bbb4-6b76122415d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GHG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Clack</dc:creator>
  <cp:lastModifiedBy>Jeanine Murphy</cp:lastModifiedBy>
  <dcterms:created xsi:type="dcterms:W3CDTF">2019-02-07T22:50:50Z</dcterms:created>
  <dcterms:modified xsi:type="dcterms:W3CDTF">2019-08-06T13:55:13Z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0x0101001F1F380C65B1B645882CE28987B40543</vt:lpwstr>
  </property>
</Properties>
</file>